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40" yWindow="0" windowWidth="26900" windowHeight="16220" tabRatio="654" activeTab="1"/>
  </bookViews>
  <sheets>
    <sheet name="Instructions" sheetId="1" r:id="rId1"/>
    <sheet name="N621GB" sheetId="2" r:id="rId2"/>
    <sheet name="N86MJ" sheetId="3" r:id="rId3"/>
    <sheet name="N443AP" sheetId="4" r:id="rId4"/>
    <sheet name="SR22T G5" sheetId="5" r:id="rId5"/>
    <sheet name="SR22 G5 " sheetId="6" r:id="rId6"/>
    <sheet name="SR22T G3" sheetId="7" r:id="rId7"/>
    <sheet name="SR22 G3" sheetId="8" r:id="rId8"/>
    <sheet name="SR22 G1, G2" sheetId="9" r:id="rId9"/>
    <sheet name="SR20 G3" sheetId="10" r:id="rId10"/>
    <sheet name="SR20 G1, G2" sheetId="11" r:id="rId11"/>
  </sheets>
  <definedNames>
    <definedName name="_xlnm.Print_Area" localSheetId="3">'N443AP'!$A$1:$F$51</definedName>
    <definedName name="_xlnm.Print_Area" localSheetId="1">'N621GB'!$A$1:$F$50</definedName>
    <definedName name="_xlnm.Print_Area" localSheetId="2">'N86MJ'!$A$1:$F$52</definedName>
    <definedName name="_xlnm.Print_Area" localSheetId="10">'SR20 G1, G2'!$A$1:$F$49</definedName>
    <definedName name="_xlnm.Print_Area" localSheetId="9">'SR20 G3'!$A$1:$F$50</definedName>
    <definedName name="_xlnm.Print_Area" localSheetId="8">'SR22 G1, G2'!$A$1:$F$51</definedName>
    <definedName name="_xlnm.Print_Area" localSheetId="7">'SR22 G3'!$A$1:$F$52</definedName>
    <definedName name="_xlnm.Print_Area" localSheetId="5">'SR22 G5 '!$A$1:$F$52</definedName>
    <definedName name="_xlnm.Print_Area" localSheetId="6">'SR22T G3'!$A$1:$F$52</definedName>
    <definedName name="_xlnm.Print_Area" localSheetId="4">'SR22T G5'!$A$1:$F$52</definedName>
  </definedNames>
  <calcPr fullCalcOnLoad="1"/>
</workbook>
</file>

<file path=xl/sharedStrings.xml><?xml version="1.0" encoding="utf-8"?>
<sst xmlns="http://schemas.openxmlformats.org/spreadsheetml/2006/main" count="386" uniqueCount="69">
  <si>
    <t>Position</t>
  </si>
  <si>
    <t>Weight</t>
  </si>
  <si>
    <t>Arm</t>
  </si>
  <si>
    <t>Pilot</t>
  </si>
  <si>
    <t>weight</t>
  </si>
  <si>
    <t>cg</t>
  </si>
  <si>
    <t>Fuel for Flight</t>
  </si>
  <si>
    <t>SR22 G3</t>
  </si>
  <si>
    <t>Aircraft Registration:</t>
  </si>
  <si>
    <t>Front Passenger</t>
  </si>
  <si>
    <t>Ramp Condition</t>
  </si>
  <si>
    <t>Takeoff Condition</t>
  </si>
  <si>
    <t>Landing Condition</t>
  </si>
  <si>
    <r>
      <t xml:space="preserve">Weight 
</t>
    </r>
    <r>
      <rPr>
        <b/>
        <sz val="8"/>
        <rFont val="Arial"/>
        <family val="2"/>
      </rPr>
      <t>(lbs)</t>
    </r>
  </si>
  <si>
    <r>
      <t xml:space="preserve">Arm 
</t>
    </r>
    <r>
      <rPr>
        <b/>
        <sz val="8"/>
        <rFont val="Arial"/>
        <family val="2"/>
      </rPr>
      <t>(in.)</t>
    </r>
  </si>
  <si>
    <r>
      <t xml:space="preserve">Moment /1000 
</t>
    </r>
    <r>
      <rPr>
        <b/>
        <sz val="8"/>
        <rFont val="Arial"/>
        <family val="2"/>
      </rPr>
      <t>(in.-lbs)</t>
    </r>
  </si>
  <si>
    <t>Weight and Balance Loading Form</t>
  </si>
  <si>
    <t>Zero Fuel Condition</t>
  </si>
  <si>
    <t>Rear Passenger 1</t>
  </si>
  <si>
    <t>Rear Passenger 2</t>
  </si>
  <si>
    <t>Qty</t>
  </si>
  <si>
    <t>Oxygen</t>
  </si>
  <si>
    <t>It is the responsibility of the Pilot in Command to ensure that the weight, arm, and moment are entered correctly from the weight and balance form in the approved airplane flight manual and that the stations are correctly entered from the approved equipment list.</t>
  </si>
  <si>
    <t>Envelope</t>
  </si>
  <si>
    <t>Revised: 6/16/2009</t>
  </si>
  <si>
    <t>Baggage Compartment</t>
  </si>
  <si>
    <t>Aircraft Type:</t>
  </si>
  <si>
    <t>Input fields shaded in gray</t>
  </si>
  <si>
    <r>
      <t>Basic Empty Weight</t>
    </r>
    <r>
      <rPr>
        <sz val="7"/>
        <rFont val="Arial"/>
        <family val="2"/>
      </rPr>
      <t xml:space="preserve">   (from Aircraft POH)</t>
    </r>
  </si>
  <si>
    <r>
      <t>Fuel Load</t>
    </r>
    <r>
      <rPr>
        <sz val="7"/>
        <rFont val="Arial"/>
        <family val="2"/>
      </rPr>
      <t xml:space="preserve">   (6.0 lbs/gal)</t>
    </r>
  </si>
  <si>
    <t>SR22 G1 / G2</t>
  </si>
  <si>
    <r>
      <t>Anti-Ice Fluid</t>
    </r>
    <r>
      <rPr>
        <sz val="7"/>
        <rFont val="Arial"/>
        <family val="2"/>
      </rPr>
      <t xml:space="preserve">   (9.2 lbs/gal)</t>
    </r>
  </si>
  <si>
    <t>Takeoff</t>
  </si>
  <si>
    <t>SR20 G3</t>
  </si>
  <si>
    <t>SR20 G1 / G2</t>
  </si>
  <si>
    <t>1800 psi (Full)</t>
  </si>
  <si>
    <t>1600 psi</t>
  </si>
  <si>
    <t>1200 psi</t>
  </si>
  <si>
    <t>800 psi</t>
  </si>
  <si>
    <t>400 psi</t>
  </si>
  <si>
    <t>0 psi (Empty)</t>
  </si>
  <si>
    <t>Cirrus Weight and Balance Loading Forms</t>
  </si>
  <si>
    <t>The worksheets in this document enable the pilot to calculate the total weight, center of gravity, and moment for the aircraft.</t>
  </si>
  <si>
    <t>Instructions</t>
  </si>
  <si>
    <t>Click the appropriate tab at the bottom of this screen for the type of Cirrus aircraft you fly.</t>
  </si>
  <si>
    <t>Enter other weights as appropriate in the fields shaded in gray.</t>
  </si>
  <si>
    <t>It is the responsibility of the pilot in command to ensure that the airplane is properly loaded and operated within the prescribed weight and center of gravity limits.</t>
  </si>
  <si>
    <t>Notes</t>
  </si>
  <si>
    <t>•</t>
  </si>
  <si>
    <t>Every effort has been made to ensure the accuracy of the information in these worksheets. However if there is a disagreement between the worksheet and the Pilot's Operating Handbook, the POH takes precedence.</t>
  </si>
  <si>
    <t>Fuel for Start, Taxi, &amp; Run-up</t>
  </si>
  <si>
    <t>Revised: 2/10/2011</t>
  </si>
  <si>
    <t>Please send errors and comments to training@cirrusaircraft.com</t>
  </si>
  <si>
    <t>Enter the Basic Empty Weight and Moment from Section 6 of the aircraft's POH.</t>
  </si>
  <si>
    <t>Worksheets are protected for ease of use and to prevent inadvertent deletion of formulas. If a change is necessary to a protected cell, the worksheet may be unprotected. There is no password required. Please see the Microsoft Excel help file for instructions on how to unprotect a worksheet.</t>
  </si>
  <si>
    <t>Rear Passenger 3</t>
  </si>
  <si>
    <t xml:space="preserve">Zero Fuel Condition </t>
  </si>
  <si>
    <t>Rear Passenger 3 (If equipped)</t>
  </si>
  <si>
    <t>Zero Fuel Condition (3,400 lbs MAX)</t>
  </si>
  <si>
    <t>Zero Fuel</t>
  </si>
  <si>
    <t>SR22T G5</t>
  </si>
  <si>
    <r>
      <t>Baggage Compartment (</t>
    </r>
    <r>
      <rPr>
        <sz val="8"/>
        <rFont val="Arial"/>
        <family val="2"/>
      </rPr>
      <t>130 lbs MAX</t>
    </r>
    <r>
      <rPr>
        <sz val="10"/>
        <rFont val="Arial"/>
        <family val="2"/>
      </rPr>
      <t>)</t>
    </r>
  </si>
  <si>
    <t>SR22T G3</t>
  </si>
  <si>
    <t>SR22 G5</t>
  </si>
  <si>
    <t>Revised: 24 January 2013</t>
  </si>
  <si>
    <t>N621GB</t>
  </si>
  <si>
    <t>Revised: 4/18/2014</t>
  </si>
  <si>
    <t>N86MJ</t>
  </si>
  <si>
    <t>N443AP</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</si>
</sst>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
    <numFmt numFmtId="166" formatCode="0.0000"/>
    <numFmt numFmtId="167" formatCode="0.0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0.0"/>
  </numFmts>
  <fonts count="57">
    <font>
      <sz val="10"/>
      <name val="MS Sans Serif"/>
      <family val="0"/>
    </font>
    <font>
      <b/>
      <sz val="10"/>
      <name val="MS Sans Serif"/>
      <family val="0"/>
    </font>
    <font>
      <i/>
      <sz val="10"/>
      <name val="MS Sans Serif"/>
      <family val="0"/>
    </font>
    <font>
      <b/>
      <i/>
      <sz val="10"/>
      <name val="MS Sans Serif"/>
      <family val="0"/>
    </font>
    <font>
      <sz val="10"/>
      <name val="Arial"/>
      <family val="2"/>
    </font>
    <font>
      <i/>
      <sz val="10"/>
      <name val="Arial"/>
      <family val="2"/>
    </font>
    <font>
      <b/>
      <sz val="10"/>
      <name val="Arial"/>
      <family val="0"/>
    </font>
    <font>
      <sz val="7"/>
      <name val="Arial"/>
      <family val="2"/>
    </font>
    <font>
      <sz val="15"/>
      <name val="Arial"/>
      <family val="2"/>
    </font>
    <font>
      <sz val="14"/>
      <name val="Arial"/>
      <family val="2"/>
    </font>
    <font>
      <sz val="9"/>
      <name val="Arial"/>
      <family val="2"/>
    </font>
    <font>
      <b/>
      <sz val="14"/>
      <name val="Arial"/>
      <family val="2"/>
    </font>
    <font>
      <b/>
      <sz val="12"/>
      <name val="Arial"/>
      <family val="2"/>
    </font>
    <font>
      <sz val="8"/>
      <name val="Arial"/>
      <family val="2"/>
    </font>
    <font>
      <b/>
      <sz val="8"/>
      <name val="Arial"/>
      <family val="2"/>
    </font>
    <font>
      <b/>
      <sz val="11"/>
      <name val="Arial"/>
      <family val="2"/>
    </font>
    <font>
      <i/>
      <sz val="8"/>
      <name val="Arial"/>
      <family val="2"/>
    </font>
    <font>
      <sz val="8"/>
      <name val="MS Sans Serif"/>
      <family val="0"/>
    </font>
    <font>
      <b/>
      <sz val="26"/>
      <name val="Arial"/>
      <family val="2"/>
    </font>
    <font>
      <b/>
      <sz val="16"/>
      <name val="Arial"/>
      <family val="2"/>
    </font>
    <font>
      <sz val="12"/>
      <color indexed="8"/>
      <name val="Arial"/>
      <family val="0"/>
    </font>
    <font>
      <sz val="6.25"/>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color indexed="63"/>
      </left>
      <right>
        <color indexed="63"/>
      </right>
      <top style="thin"/>
      <bottom style="thin"/>
    </border>
    <border>
      <left style="thin"/>
      <right style="thin"/>
      <top style="medium"/>
      <bottom style="medium"/>
    </border>
    <border>
      <left style="thin"/>
      <right style="thin"/>
      <top style="thin"/>
      <bottom style="medium"/>
    </border>
    <border>
      <left style="thin"/>
      <right style="thin"/>
      <top style="thin"/>
      <bottom style="thin"/>
    </border>
    <border>
      <left>
        <color indexed="63"/>
      </left>
      <right>
        <color indexed="63"/>
      </right>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medium"/>
      <bottom style="medium"/>
    </border>
    <border>
      <left style="thin"/>
      <right style="medium"/>
      <top style="medium"/>
      <bottom style="medium"/>
    </border>
    <border>
      <left style="thin"/>
      <right style="thin"/>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thin"/>
      <right>
        <color indexed="63"/>
      </right>
      <top style="thin"/>
      <bottom style="thin"/>
    </border>
    <border>
      <left style="medium"/>
      <right>
        <color indexed="63"/>
      </right>
      <top style="thin"/>
      <bottom style="medium"/>
    </border>
    <border>
      <left>
        <color indexed="63"/>
      </left>
      <right style="thin"/>
      <top style="thin"/>
      <bottom style="medium"/>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 fontId="0" fillId="0" borderId="0" applyFont="0" applyFill="0" applyBorder="0" applyAlignment="0" applyProtection="0"/>
    <xf numFmtId="8"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9">
    <xf numFmtId="0" fontId="0" fillId="0" borderId="0" xfId="0" applyAlignment="1">
      <alignment/>
    </xf>
    <xf numFmtId="0" fontId="4" fillId="0" borderId="0" xfId="0" applyFont="1" applyAlignment="1" applyProtection="1">
      <alignment/>
      <protection/>
    </xf>
    <xf numFmtId="0" fontId="6" fillId="0" borderId="0" xfId="0" applyFont="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Alignment="1" applyProtection="1">
      <alignment/>
      <protection hidden="1"/>
    </xf>
    <xf numFmtId="0" fontId="8" fillId="0" borderId="0" xfId="0" applyFont="1" applyAlignment="1" applyProtection="1">
      <alignment/>
      <protection/>
    </xf>
    <xf numFmtId="0" fontId="9" fillId="0" borderId="0" xfId="0" applyFont="1" applyAlignment="1" applyProtection="1">
      <alignment/>
      <protection/>
    </xf>
    <xf numFmtId="0" fontId="10" fillId="0" borderId="0" xfId="0" applyFont="1" applyAlignment="1" applyProtection="1">
      <alignment horizontal="justify" wrapText="1"/>
      <protection/>
    </xf>
    <xf numFmtId="0" fontId="4" fillId="0" borderId="0" xfId="0" applyFont="1" applyAlignment="1" applyProtection="1">
      <alignment horizontal="left"/>
      <protection/>
    </xf>
    <xf numFmtId="12" fontId="4" fillId="0" borderId="0" xfId="0" applyNumberFormat="1" applyFont="1" applyAlignment="1" applyProtection="1">
      <alignment horizontal="left"/>
      <protection/>
    </xf>
    <xf numFmtId="0" fontId="10" fillId="0" borderId="0" xfId="0" applyFont="1" applyAlignment="1" applyProtection="1">
      <alignment wrapText="1"/>
      <protection/>
    </xf>
    <xf numFmtId="0" fontId="4" fillId="0" borderId="10" xfId="0" applyFont="1" applyBorder="1" applyAlignment="1" applyProtection="1">
      <alignment horizontal="left" vertical="center"/>
      <protection/>
    </xf>
    <xf numFmtId="0" fontId="11" fillId="0" borderId="0" xfId="0" applyFont="1" applyAlignment="1" applyProtection="1">
      <alignment/>
      <protection/>
    </xf>
    <xf numFmtId="0" fontId="6" fillId="0" borderId="0" xfId="0" applyFont="1" applyAlignment="1" applyProtection="1">
      <alignment/>
      <protection/>
    </xf>
    <xf numFmtId="0" fontId="10" fillId="0" borderId="11" xfId="0" applyFont="1" applyBorder="1" applyAlignment="1" applyProtection="1">
      <alignment horizontal="center" wrapText="1"/>
      <protection/>
    </xf>
    <xf numFmtId="0" fontId="15" fillId="0" borderId="0" xfId="0" applyFont="1" applyAlignment="1" applyProtection="1">
      <alignment horizontal="right"/>
      <protection/>
    </xf>
    <xf numFmtId="0" fontId="4" fillId="33" borderId="12"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4" fillId="33" borderId="14" xfId="0" applyFont="1" applyFill="1" applyBorder="1" applyAlignment="1" applyProtection="1">
      <alignment horizontal="center" vertical="center"/>
      <protection locked="0"/>
    </xf>
    <xf numFmtId="168" fontId="6" fillId="0" borderId="0" xfId="0" applyNumberFormat="1" applyFont="1" applyAlignment="1" applyProtection="1">
      <alignment horizontal="center" vertical="center"/>
      <protection/>
    </xf>
    <xf numFmtId="0" fontId="10" fillId="0" borderId="15" xfId="0" applyFont="1" applyBorder="1" applyAlignment="1" applyProtection="1">
      <alignment horizontal="center" wrapText="1"/>
      <protection locked="0"/>
    </xf>
    <xf numFmtId="167" fontId="4" fillId="33" borderId="16" xfId="0" applyNumberFormat="1" applyFont="1" applyFill="1" applyBorder="1" applyAlignment="1" applyProtection="1">
      <alignment horizontal="center" vertical="center"/>
      <protection locked="0"/>
    </xf>
    <xf numFmtId="167" fontId="13" fillId="0" borderId="17" xfId="0" applyNumberFormat="1" applyFont="1" applyBorder="1" applyAlignment="1" applyProtection="1">
      <alignment horizontal="center" vertical="center"/>
      <protection/>
    </xf>
    <xf numFmtId="167" fontId="13" fillId="0" borderId="18" xfId="0" applyNumberFormat="1" applyFont="1" applyBorder="1" applyAlignment="1" applyProtection="1">
      <alignment horizontal="center" vertical="center"/>
      <protection/>
    </xf>
    <xf numFmtId="167" fontId="13" fillId="0" borderId="19" xfId="0" applyNumberFormat="1" applyFont="1" applyBorder="1" applyAlignment="1" applyProtection="1">
      <alignment horizontal="center" vertical="center"/>
      <protection/>
    </xf>
    <xf numFmtId="167" fontId="13" fillId="0" borderId="20" xfId="0" applyNumberFormat="1" applyFont="1" applyBorder="1" applyAlignment="1" applyProtection="1">
      <alignment horizontal="center" vertical="center"/>
      <protection/>
    </xf>
    <xf numFmtId="167" fontId="13" fillId="0" borderId="0" xfId="0" applyNumberFormat="1" applyFont="1" applyAlignment="1" applyProtection="1">
      <alignment horizontal="center" vertical="center"/>
      <protection/>
    </xf>
    <xf numFmtId="167" fontId="6" fillId="0" borderId="0" xfId="0" applyNumberFormat="1" applyFont="1" applyAlignment="1" applyProtection="1">
      <alignment horizontal="center" vertical="center"/>
      <protection/>
    </xf>
    <xf numFmtId="168" fontId="13" fillId="0" borderId="21" xfId="0" applyNumberFormat="1" applyFont="1" applyBorder="1" applyAlignment="1" applyProtection="1">
      <alignment horizontal="center" vertical="center"/>
      <protection/>
    </xf>
    <xf numFmtId="168" fontId="13" fillId="0" borderId="14" xfId="0" applyNumberFormat="1" applyFont="1" applyBorder="1" applyAlignment="1" applyProtection="1">
      <alignment horizontal="center" vertical="center"/>
      <protection/>
    </xf>
    <xf numFmtId="168" fontId="13" fillId="0" borderId="13" xfId="0" applyNumberFormat="1" applyFont="1" applyBorder="1" applyAlignment="1" applyProtection="1">
      <alignment horizontal="center" vertical="center"/>
      <protection/>
    </xf>
    <xf numFmtId="168" fontId="13" fillId="0" borderId="19" xfId="0" applyNumberFormat="1" applyFont="1" applyBorder="1" applyAlignment="1" applyProtection="1">
      <alignment horizontal="center" vertical="center"/>
      <protection/>
    </xf>
    <xf numFmtId="168" fontId="13" fillId="0" borderId="12" xfId="0" applyNumberFormat="1" applyFont="1" applyBorder="1" applyAlignment="1" applyProtection="1">
      <alignment horizontal="center" vertical="center"/>
      <protection/>
    </xf>
    <xf numFmtId="168" fontId="13" fillId="0" borderId="0" xfId="0" applyNumberFormat="1" applyFont="1" applyAlignment="1" applyProtection="1">
      <alignment horizontal="center" vertical="center"/>
      <protection/>
    </xf>
    <xf numFmtId="1" fontId="4" fillId="33" borderId="21" xfId="0" applyNumberFormat="1" applyFont="1" applyFill="1" applyBorder="1" applyAlignment="1" applyProtection="1">
      <alignment horizontal="center" vertical="center"/>
      <protection locked="0"/>
    </xf>
    <xf numFmtId="1" fontId="4" fillId="33" borderId="14" xfId="0" applyNumberFormat="1" applyFont="1" applyFill="1" applyBorder="1" applyAlignment="1" applyProtection="1">
      <alignment horizontal="center" vertical="center"/>
      <protection locked="0"/>
    </xf>
    <xf numFmtId="1" fontId="13" fillId="0" borderId="14" xfId="0" applyNumberFormat="1" applyFont="1" applyBorder="1" applyAlignment="1" applyProtection="1">
      <alignment horizontal="center" vertical="center"/>
      <protection/>
    </xf>
    <xf numFmtId="1" fontId="13" fillId="0" borderId="13" xfId="0" applyNumberFormat="1" applyFont="1" applyBorder="1" applyAlignment="1" applyProtection="1">
      <alignment horizontal="center" vertical="center"/>
      <protection/>
    </xf>
    <xf numFmtId="1" fontId="13" fillId="0" borderId="19" xfId="0" applyNumberFormat="1" applyFont="1" applyBorder="1" applyAlignment="1" applyProtection="1">
      <alignment horizontal="center" vertical="center"/>
      <protection/>
    </xf>
    <xf numFmtId="1" fontId="13" fillId="0" borderId="12" xfId="0" applyNumberFormat="1" applyFont="1" applyBorder="1" applyAlignment="1" applyProtection="1">
      <alignment horizontal="center" vertical="center"/>
      <protection/>
    </xf>
    <xf numFmtId="1" fontId="13" fillId="0" borderId="0" xfId="0" applyNumberFormat="1" applyFont="1" applyAlignment="1" applyProtection="1">
      <alignment horizontal="center" vertical="center"/>
      <protection/>
    </xf>
    <xf numFmtId="1" fontId="6" fillId="0" borderId="0" xfId="0" applyNumberFormat="1" applyFont="1" applyAlignment="1" applyProtection="1">
      <alignment horizontal="center" vertical="center"/>
      <protection/>
    </xf>
    <xf numFmtId="0" fontId="10" fillId="0" borderId="11" xfId="0" applyFont="1" applyBorder="1" applyAlignment="1" applyProtection="1">
      <alignment horizontal="center"/>
      <protection/>
    </xf>
    <xf numFmtId="0" fontId="4" fillId="34" borderId="0" xfId="0" applyFont="1" applyFill="1" applyAlignment="1">
      <alignment/>
    </xf>
    <xf numFmtId="0" fontId="18" fillId="34" borderId="0" xfId="0" applyFont="1" applyFill="1" applyAlignment="1">
      <alignment/>
    </xf>
    <xf numFmtId="0" fontId="12" fillId="34" borderId="0" xfId="0" applyFont="1" applyFill="1" applyAlignment="1">
      <alignment horizontal="left" wrapText="1"/>
    </xf>
    <xf numFmtId="0" fontId="19" fillId="34" borderId="0" xfId="0" applyFont="1" applyFill="1" applyAlignment="1">
      <alignment/>
    </xf>
    <xf numFmtId="0" fontId="6" fillId="34" borderId="0" xfId="0" applyFont="1" applyFill="1" applyAlignment="1">
      <alignment horizontal="center" vertical="center"/>
    </xf>
    <xf numFmtId="0" fontId="4" fillId="34" borderId="0" xfId="0" applyFont="1" applyFill="1" applyAlignment="1">
      <alignment horizontal="left" wrapText="1"/>
    </xf>
    <xf numFmtId="0" fontId="6" fillId="34" borderId="0" xfId="0" applyFont="1" applyFill="1" applyAlignment="1">
      <alignment/>
    </xf>
    <xf numFmtId="0" fontId="4" fillId="0" borderId="22"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0" fontId="4" fillId="0" borderId="23" xfId="0" applyFont="1" applyBorder="1" applyAlignment="1" applyProtection="1">
      <alignment horizontal="left" vertical="center"/>
      <protection/>
    </xf>
    <xf numFmtId="0" fontId="7" fillId="0" borderId="0" xfId="0" applyFont="1" applyAlignment="1" applyProtection="1">
      <alignment horizontal="center" vertical="center"/>
      <protection/>
    </xf>
    <xf numFmtId="1" fontId="4" fillId="0" borderId="19" xfId="0" applyNumberFormat="1" applyFont="1" applyBorder="1" applyAlignment="1" applyProtection="1">
      <alignment horizontal="center" vertical="center"/>
      <protection/>
    </xf>
    <xf numFmtId="1" fontId="4" fillId="35" borderId="21" xfId="0" applyNumberFormat="1" applyFont="1" applyFill="1" applyBorder="1" applyAlignment="1" applyProtection="1">
      <alignment horizontal="center" vertical="center"/>
      <protection/>
    </xf>
    <xf numFmtId="167" fontId="4" fillId="35" borderId="16" xfId="0" applyNumberFormat="1" applyFont="1" applyFill="1" applyBorder="1" applyAlignment="1" applyProtection="1">
      <alignment horizontal="center" vertical="center"/>
      <protection/>
    </xf>
    <xf numFmtId="1" fontId="4" fillId="36" borderId="21" xfId="0" applyNumberFormat="1" applyFont="1" applyFill="1" applyBorder="1" applyAlignment="1" applyProtection="1">
      <alignment horizontal="center" vertical="center"/>
      <protection locked="0"/>
    </xf>
    <xf numFmtId="167" fontId="4" fillId="36" borderId="16" xfId="0" applyNumberFormat="1" applyFont="1" applyFill="1" applyBorder="1" applyAlignment="1" applyProtection="1">
      <alignment horizontal="center" vertical="center"/>
      <protection locked="0"/>
    </xf>
    <xf numFmtId="0" fontId="12" fillId="0" borderId="15" xfId="0" applyFont="1" applyBorder="1" applyAlignment="1" applyProtection="1">
      <alignment horizontal="center" wrapText="1"/>
      <protection locked="0"/>
    </xf>
    <xf numFmtId="168" fontId="13" fillId="0" borderId="21" xfId="0" applyNumberFormat="1" applyFont="1" applyFill="1" applyBorder="1" applyAlignment="1" applyProtection="1">
      <alignment horizontal="center" vertical="center"/>
      <protection/>
    </xf>
    <xf numFmtId="1" fontId="4" fillId="0" borderId="21" xfId="0" applyNumberFormat="1" applyFont="1" applyFill="1" applyBorder="1" applyAlignment="1" applyProtection="1">
      <alignment horizontal="center" vertical="center"/>
      <protection/>
    </xf>
    <xf numFmtId="167" fontId="4" fillId="0" borderId="16" xfId="0" applyNumberFormat="1" applyFont="1" applyFill="1" applyBorder="1" applyAlignment="1" applyProtection="1">
      <alignment horizontal="center" vertical="center"/>
      <protection/>
    </xf>
    <xf numFmtId="0" fontId="6" fillId="34" borderId="0" xfId="0" applyFont="1" applyFill="1" applyAlignment="1">
      <alignment horizontal="left" vertical="center" wrapText="1"/>
    </xf>
    <xf numFmtId="0" fontId="12" fillId="34" borderId="0" xfId="0" applyFont="1" applyFill="1" applyAlignment="1">
      <alignment horizontal="left" wrapText="1"/>
    </xf>
    <xf numFmtId="0" fontId="11" fillId="0" borderId="0" xfId="0" applyFont="1" applyAlignment="1" applyProtection="1">
      <alignment horizontal="center"/>
      <protection/>
    </xf>
    <xf numFmtId="0" fontId="6" fillId="0" borderId="0"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0" fontId="16" fillId="0" borderId="0" xfId="0" applyFont="1" applyAlignment="1" applyProtection="1">
      <alignment horizontal="center" vertical="center" wrapText="1"/>
      <protection/>
    </xf>
    <xf numFmtId="0" fontId="4" fillId="0" borderId="22"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0" fontId="4" fillId="0" borderId="23" xfId="0" applyFont="1" applyBorder="1" applyAlignment="1" applyProtection="1">
      <alignment horizontal="left" vertical="center"/>
      <protection/>
    </xf>
    <xf numFmtId="0" fontId="13" fillId="0" borderId="19" xfId="0" applyFont="1" applyBorder="1" applyAlignment="1" applyProtection="1">
      <alignment horizontal="left" vertical="center"/>
      <protection/>
    </xf>
    <xf numFmtId="0" fontId="4" fillId="0" borderId="25" xfId="0" applyFont="1" applyBorder="1" applyAlignment="1" applyProtection="1">
      <alignment horizontal="left" vertical="center"/>
      <protection/>
    </xf>
    <xf numFmtId="0" fontId="4" fillId="0" borderId="26" xfId="0" applyFont="1" applyBorder="1" applyAlignment="1" applyProtection="1">
      <alignment horizontal="left" vertical="center"/>
      <protection/>
    </xf>
    <xf numFmtId="0" fontId="4" fillId="0" borderId="27" xfId="0" applyFont="1" applyBorder="1" applyAlignment="1" applyProtection="1">
      <alignment horizontal="left" vertical="center"/>
      <protection/>
    </xf>
    <xf numFmtId="0" fontId="4" fillId="0" borderId="28" xfId="0" applyFont="1" applyBorder="1" applyAlignment="1" applyProtection="1">
      <alignment horizontal="left" vertical="center"/>
      <protection/>
    </xf>
    <xf numFmtId="0" fontId="4" fillId="0" borderId="29" xfId="0" applyFont="1" applyBorder="1" applyAlignment="1" applyProtection="1">
      <alignment horizontal="left" vertical="center"/>
      <protection/>
    </xf>
    <xf numFmtId="0" fontId="13" fillId="0" borderId="30" xfId="0" applyFont="1" applyBorder="1" applyAlignment="1" applyProtection="1">
      <alignment horizontal="left" vertical="center"/>
      <protection/>
    </xf>
    <xf numFmtId="0" fontId="13"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13" fillId="0" borderId="0" xfId="0" applyFont="1" applyAlignment="1" applyProtection="1">
      <alignment horizontal="left" wrapText="1"/>
      <protection/>
    </xf>
    <xf numFmtId="0" fontId="13" fillId="0" borderId="0" xfId="0" applyFont="1" applyBorder="1" applyAlignment="1" applyProtection="1">
      <alignment horizontal="left" vertical="center"/>
      <protection/>
    </xf>
    <xf numFmtId="12" fontId="4" fillId="33" borderId="31" xfId="0" applyNumberFormat="1" applyFont="1" applyFill="1" applyBorder="1" applyAlignment="1" applyProtection="1">
      <alignment horizontal="center" vertical="center"/>
      <protection locked="0"/>
    </xf>
    <xf numFmtId="12" fontId="4" fillId="33" borderId="23" xfId="0" applyNumberFormat="1" applyFont="1" applyFill="1" applyBorder="1" applyAlignment="1" applyProtection="1">
      <alignment horizontal="center" vertical="center"/>
      <protection locked="0"/>
    </xf>
    <xf numFmtId="0" fontId="4" fillId="0" borderId="32" xfId="0" applyFont="1" applyBorder="1" applyAlignment="1" applyProtection="1">
      <alignment horizontal="left" vertical="center"/>
      <protection/>
    </xf>
    <xf numFmtId="0" fontId="4" fillId="0" borderId="33" xfId="0" applyFont="1" applyBorder="1" applyAlignment="1" applyProtection="1">
      <alignment horizontal="left" vertical="center"/>
      <protection/>
    </xf>
  </cellXfs>
  <cellStyles count="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te" xfId="53"/>
    <cellStyle name="Output" xfId="54"/>
    <cellStyle name="Percent" xfId="55"/>
    <cellStyle name="Title" xfId="56"/>
    <cellStyle name="Total" xfId="57"/>
    <cellStyle name="Warning Text" xfId="58"/>
  </cellStyles>
  <dxfs count="24">
    <dxf>
      <font>
        <b/>
        <i/>
        <color indexed="10"/>
      </font>
    </dxf>
    <dxf>
      <font>
        <b/>
        <i/>
        <strike val="0"/>
        <color indexed="10"/>
      </font>
    </dxf>
    <dxf>
      <font>
        <b/>
        <i/>
        <strike val="0"/>
        <color indexed="10"/>
      </font>
    </dxf>
    <dxf>
      <font>
        <b/>
        <i/>
        <color indexed="10"/>
      </font>
    </dxf>
    <dxf>
      <font>
        <b/>
        <i/>
        <color indexed="10"/>
      </font>
    </dxf>
    <dxf>
      <font>
        <b/>
        <i/>
        <strike val="0"/>
        <color indexed="10"/>
      </font>
    </dxf>
    <dxf>
      <font>
        <b/>
        <i/>
        <color indexed="10"/>
      </font>
    </dxf>
    <dxf>
      <font>
        <b/>
        <i/>
        <strike val="0"/>
        <color indexed="10"/>
      </font>
    </dxf>
    <dxf>
      <font>
        <b/>
        <i/>
        <color indexed="10"/>
      </font>
    </dxf>
    <dxf>
      <font>
        <b/>
        <i/>
        <strike val="0"/>
        <color indexed="10"/>
      </font>
    </dxf>
    <dxf>
      <font>
        <color rgb="FFFF0000"/>
      </font>
    </dxf>
    <dxf>
      <font>
        <color rgb="FFFF0000"/>
      </font>
    </dxf>
    <dxf>
      <font>
        <color rgb="FFFF0000"/>
      </font>
    </dxf>
    <dxf>
      <font>
        <color rgb="FFFF0000"/>
      </font>
    </dxf>
    <dxf>
      <font>
        <color rgb="FFFF0000"/>
      </font>
    </dxf>
    <dxf>
      <font>
        <color rgb="FFFF0000"/>
      </font>
    </dxf>
    <dxf>
      <font>
        <b/>
        <i/>
        <color indexed="10"/>
      </font>
    </dxf>
    <dxf>
      <font>
        <b/>
        <i/>
        <strike val="0"/>
        <color indexed="10"/>
      </font>
    </dxf>
    <dxf>
      <font>
        <b/>
        <i/>
        <color indexed="10"/>
      </font>
    </dxf>
    <dxf>
      <font>
        <b/>
        <i/>
        <strike val="0"/>
        <color indexed="10"/>
      </font>
    </dxf>
    <dxf>
      <font>
        <b/>
        <i/>
        <strike val="0"/>
        <color indexed="10"/>
      </font>
    </dxf>
    <dxf>
      <font>
        <b/>
        <i/>
        <color indexed="10"/>
      </font>
    </dxf>
    <dxf>
      <font>
        <b/>
        <i/>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6"/>
          <c:w val="0.936"/>
          <c:h val="0.849"/>
        </c:manualLayout>
      </c:layout>
      <c:scatterChart>
        <c:scatterStyle val="lineMarker"/>
        <c:varyColors val="0"/>
        <c:ser>
          <c:idx val="2"/>
          <c:order val="0"/>
          <c:tx>
            <c:v>Envelope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'N621GB'!$C$27:$C$32</c:f>
              <c:numCache/>
            </c:numRef>
          </c:xVal>
          <c:yVal>
            <c:numRef>
              <c:f>'N621GB'!$B$27:$B$32</c:f>
              <c:numCache/>
            </c:numRef>
          </c:yVal>
          <c:smooth val="0"/>
        </c:ser>
        <c:ser>
          <c:idx val="0"/>
          <c:order val="1"/>
          <c:tx>
            <c:v>Takeoff CG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424242"/>
              </a:solidFill>
              <a:ln>
                <a:solidFill>
                  <a:srgbClr val="424242"/>
                </a:solidFill>
              </a:ln>
            </c:spPr>
          </c:marker>
          <c:xVal>
            <c:numRef>
              <c:f>'N621GB'!$E$19</c:f>
              <c:numCache/>
            </c:numRef>
          </c:xVal>
          <c:yVal>
            <c:numRef>
              <c:f>'N621GB'!$D$19</c:f>
              <c:numCache/>
            </c:numRef>
          </c:yVal>
          <c:smooth val="0"/>
        </c:ser>
        <c:ser>
          <c:idx val="1"/>
          <c:order val="2"/>
          <c:tx>
            <c:v>Landing CG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424242"/>
              </a:solidFill>
              <a:ln>
                <a:solidFill>
                  <a:srgbClr val="424242"/>
                </a:solidFill>
              </a:ln>
            </c:spPr>
          </c:marker>
          <c:xVal>
            <c:numRef>
              <c:f>'N621GB'!$E$21</c:f>
              <c:numCache/>
            </c:numRef>
          </c:xVal>
          <c:yVal>
            <c:numRef>
              <c:f>'N621GB'!$D$21</c:f>
              <c:numCache/>
            </c:numRef>
          </c:yVal>
          <c:smooth val="0"/>
        </c:ser>
        <c:ser>
          <c:idx val="3"/>
          <c:order val="3"/>
          <c:tx>
            <c:v>Fuel Burn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('N621GB'!$E$19,'N621GB'!$E$21)</c:f>
              <c:numCache/>
            </c:numRef>
          </c:xVal>
          <c:yVal>
            <c:numRef>
              <c:f>('N621GB'!$D$19,'N621GB'!$D$21)</c:f>
              <c:numCache/>
            </c:numRef>
          </c:yVal>
          <c:smooth val="0"/>
        </c:ser>
        <c:axId val="57641050"/>
        <c:axId val="49007403"/>
      </c:scatterChart>
      <c:valAx>
        <c:axId val="57641050"/>
        <c:scaling>
          <c:orientation val="minMax"/>
          <c:max val="150"/>
          <c:min val="136"/>
        </c:scaling>
        <c:axPos val="b"/>
        <c:title>
          <c:tx>
            <c:rich>
              <a:bodyPr vert="horz" rot="0" anchor="ctr"/>
              <a:lstStyle/>
              <a:p>
                <a:pPr algn="ctr">
                  <a:defRPr/>
                </a:pPr>
                <a:r>
                  <a:rPr lang="en-US" cap="none" sz="800" b="1" i="0" u="none" baseline="0">
                    <a:solidFill>
                      <a:srgbClr val="000000"/>
                    </a:solidFill>
                  </a:rPr>
                  <a:t>C.G. - Inches Aft of Datum</a:t>
                </a:r>
              </a:p>
            </c:rich>
          </c:tx>
          <c:layout>
            <c:manualLayout>
              <c:xMode val="factor"/>
              <c:yMode val="factor"/>
              <c:x val="-0.004"/>
              <c:y val="-0.0112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000000"/>
            </a:solidFill>
          </a:ln>
        </c:spPr>
        <c:txPr>
          <a:bodyPr vert="horz" rot="0"/>
          <a:lstStyle/>
          <a:p>
            <a:pPr>
              <a:defRPr lang="en-US" cap="none" sz="625" b="0" i="0" u="none" baseline="0">
                <a:solidFill>
                  <a:srgbClr val="000000"/>
                </a:solidFill>
              </a:defRPr>
            </a:pPr>
          </a:p>
        </c:txPr>
        <c:crossAx val="49007403"/>
        <c:crosses val="autoZero"/>
        <c:crossBetween val="midCat"/>
        <c:dispUnits/>
        <c:majorUnit val="2"/>
        <c:minorUnit val="0.5"/>
      </c:valAx>
      <c:valAx>
        <c:axId val="49007403"/>
        <c:scaling>
          <c:orientation val="minMax"/>
          <c:max val="3200"/>
          <c:min val="2000"/>
        </c:scaling>
        <c:axPos val="l"/>
        <c:title>
          <c:tx>
            <c:rich>
              <a:bodyPr vert="horz" rot="-5400000" anchor="ctr"/>
              <a:lstStyle/>
              <a:p>
                <a:pPr algn="ctr">
                  <a:defRPr/>
                </a:pPr>
                <a:r>
                  <a:rPr lang="en-US" cap="none" sz="800" b="1" i="0" u="none" baseline="0">
                    <a:solidFill>
                      <a:srgbClr val="000000"/>
                    </a:solidFill>
                  </a:rPr>
                  <a:t>Weight (lbs)</a:t>
                </a:r>
              </a:p>
            </c:rich>
          </c:tx>
          <c:layout>
            <c:manualLayout>
              <c:xMode val="factor"/>
              <c:yMode val="factor"/>
              <c:x val="-0.011"/>
              <c:y val="-0.001"/>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defRPr>
            </a:pPr>
          </a:p>
        </c:txPr>
        <c:crossAx val="57641050"/>
        <c:crosses val="autoZero"/>
        <c:crossBetween val="midCat"/>
        <c:dispUnits/>
        <c:majorUnit val="200"/>
        <c:minorUnit val="50"/>
      </c:valAx>
      <c:spPr>
        <a:noFill/>
        <a:ln w="12700">
          <a:solidFill>
            <a:srgbClr val="000000"/>
          </a:solidFill>
        </a:ln>
      </c:spPr>
    </c:plotArea>
    <c:legend>
      <c:legendPos val="r"/>
      <c:layout>
        <c:manualLayout>
          <c:xMode val="edge"/>
          <c:yMode val="edge"/>
          <c:x val="0.115"/>
          <c:y val="0.95875"/>
          <c:w val="0.74"/>
          <c:h val="0.041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35"/>
          <c:w val="0.936"/>
          <c:h val="0.8515"/>
        </c:manualLayout>
      </c:layout>
      <c:scatterChart>
        <c:scatterStyle val="lineMarker"/>
        <c:varyColors val="0"/>
        <c:ser>
          <c:idx val="2"/>
          <c:order val="0"/>
          <c:tx>
            <c:v>Envelope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'SR20 G1, G2'!$C$26:$C$33</c:f>
              <c:numCache/>
            </c:numRef>
          </c:xVal>
          <c:yVal>
            <c:numRef>
              <c:f>'SR20 G1, G2'!$B$26:$B$33</c:f>
              <c:numCache/>
            </c:numRef>
          </c:yVal>
          <c:smooth val="0"/>
        </c:ser>
        <c:ser>
          <c:idx val="0"/>
          <c:order val="1"/>
          <c:tx>
            <c:v>Takeoff CG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424242"/>
              </a:solidFill>
              <a:ln>
                <a:solidFill>
                  <a:srgbClr val="424242"/>
                </a:solidFill>
              </a:ln>
            </c:spPr>
          </c:marker>
          <c:xVal>
            <c:numRef>
              <c:f>'SR20 G1, G2'!$E$18</c:f>
              <c:numCache/>
            </c:numRef>
          </c:xVal>
          <c:yVal>
            <c:numRef>
              <c:f>'SR20 G1, G2'!$D$18</c:f>
              <c:numCache/>
            </c:numRef>
          </c:yVal>
          <c:smooth val="0"/>
        </c:ser>
        <c:ser>
          <c:idx val="1"/>
          <c:order val="2"/>
          <c:tx>
            <c:v>Landing CG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424242"/>
              </a:solidFill>
              <a:ln>
                <a:solidFill>
                  <a:srgbClr val="424242"/>
                </a:solidFill>
              </a:ln>
            </c:spPr>
          </c:marker>
          <c:xVal>
            <c:numRef>
              <c:f>'SR20 G1, G2'!$E$20</c:f>
              <c:numCache/>
            </c:numRef>
          </c:xVal>
          <c:yVal>
            <c:numRef>
              <c:f>'SR20 G1, G2'!$D$20</c:f>
              <c:numCache/>
            </c:numRef>
          </c:yVal>
          <c:smooth val="0"/>
        </c:ser>
        <c:ser>
          <c:idx val="3"/>
          <c:order val="3"/>
          <c:tx>
            <c:v>Takeoff Only</c:v>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'SR20 G1, G2'!$E$26:$E$30</c:f>
              <c:numCache/>
            </c:numRef>
          </c:xVal>
          <c:yVal>
            <c:numRef>
              <c:f>'SR20 G1, G2'!$D$26:$D$30</c:f>
              <c:numCache/>
            </c:numRef>
          </c:yVal>
          <c:smooth val="0"/>
        </c:ser>
        <c:ser>
          <c:idx val="4"/>
          <c:order val="4"/>
          <c:tx>
            <c:v>Fuel Burn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('SR20 G1, G2'!$E$18,'SR20 G1, G2'!$E$20)</c:f>
              <c:numCache/>
            </c:numRef>
          </c:xVal>
          <c:yVal>
            <c:numRef>
              <c:f>('SR20 G1, G2'!$D$18,'SR20 G1, G2'!$D$20)</c:f>
              <c:numCache/>
            </c:numRef>
          </c:yVal>
          <c:smooth val="0"/>
        </c:ser>
        <c:axId val="66070100"/>
        <c:axId val="57759989"/>
      </c:scatterChart>
      <c:valAx>
        <c:axId val="66070100"/>
        <c:scaling>
          <c:orientation val="minMax"/>
          <c:max val="150"/>
          <c:min val="136"/>
        </c:scaling>
        <c:axPos val="b"/>
        <c:title>
          <c:tx>
            <c:rich>
              <a:bodyPr vert="horz" rot="0" anchor="ctr"/>
              <a:lstStyle/>
              <a:p>
                <a:pPr algn="ctr">
                  <a:defRPr/>
                </a:pPr>
                <a:r>
                  <a:rPr lang="en-US" cap="none" sz="800" b="1" i="0" u="none" baseline="0">
                    <a:solidFill>
                      <a:srgbClr val="000000"/>
                    </a:solidFill>
                  </a:rPr>
                  <a:t>C.G. - Inches Aft of Datum</a:t>
                </a:r>
              </a:p>
            </c:rich>
          </c:tx>
          <c:layout>
            <c:manualLayout>
              <c:xMode val="factor"/>
              <c:yMode val="factor"/>
              <c:x val="-0.004"/>
              <c:y val="-0.0112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000000"/>
            </a:solidFill>
          </a:ln>
        </c:spPr>
        <c:txPr>
          <a:bodyPr vert="horz" rot="0"/>
          <a:lstStyle/>
          <a:p>
            <a:pPr>
              <a:defRPr lang="en-US" cap="none" sz="625" b="0" i="0" u="none" baseline="0">
                <a:solidFill>
                  <a:srgbClr val="000000"/>
                </a:solidFill>
              </a:defRPr>
            </a:pPr>
          </a:p>
        </c:txPr>
        <c:crossAx val="57759989"/>
        <c:crosses val="autoZero"/>
        <c:crossBetween val="midCat"/>
        <c:dispUnits/>
        <c:majorUnit val="2"/>
        <c:minorUnit val="0.5"/>
      </c:valAx>
      <c:valAx>
        <c:axId val="57759989"/>
        <c:scaling>
          <c:orientation val="minMax"/>
          <c:max val="3200"/>
          <c:min val="2000"/>
        </c:scaling>
        <c:axPos val="l"/>
        <c:title>
          <c:tx>
            <c:rich>
              <a:bodyPr vert="horz" rot="-5400000" anchor="ctr"/>
              <a:lstStyle/>
              <a:p>
                <a:pPr algn="ctr">
                  <a:defRPr/>
                </a:pPr>
                <a:r>
                  <a:rPr lang="en-US" cap="none" sz="800" b="1" i="0" u="none" baseline="0">
                    <a:solidFill>
                      <a:srgbClr val="000000"/>
                    </a:solidFill>
                  </a:rPr>
                  <a:t>Weight (lbs)</a:t>
                </a:r>
              </a:p>
            </c:rich>
          </c:tx>
          <c:layout>
            <c:manualLayout>
              <c:xMode val="factor"/>
              <c:yMode val="factor"/>
              <c:x val="-0.011"/>
              <c:y val="-0.001"/>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defRPr>
            </a:pPr>
          </a:p>
        </c:txPr>
        <c:crossAx val="66070100"/>
        <c:crosses val="autoZero"/>
        <c:crossBetween val="midCat"/>
        <c:dispUnits/>
        <c:majorUnit val="200"/>
        <c:minorUnit val="50"/>
      </c:valAx>
      <c:spPr>
        <a:noFill/>
        <a:ln w="12700">
          <a:solidFill>
            <a:srgbClr val="000000"/>
          </a:solidFill>
        </a:ln>
      </c:spPr>
    </c:plotArea>
    <c:legend>
      <c:legendPos val="r"/>
      <c:layout>
        <c:manualLayout>
          <c:xMode val="edge"/>
          <c:yMode val="edge"/>
          <c:x val="0.115"/>
          <c:y val="0.9485"/>
          <c:w val="0.744"/>
          <c:h val="0.048"/>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25"/>
          <c:y val="0.05525"/>
          <c:w val="0.93525"/>
          <c:h val="0.84875"/>
        </c:manualLayout>
      </c:layout>
      <c:scatterChart>
        <c:scatterStyle val="lineMarker"/>
        <c:varyColors val="0"/>
        <c:ser>
          <c:idx val="2"/>
          <c:order val="0"/>
          <c:tx>
            <c:v>Envelope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'N86MJ'!$C$29:$C$34</c:f>
              <c:numCache/>
            </c:numRef>
          </c:xVal>
          <c:yVal>
            <c:numRef>
              <c:f>'N86MJ'!$B$29:$B$34</c:f>
              <c:numCache/>
            </c:numRef>
          </c:yVal>
          <c:smooth val="0"/>
        </c:ser>
        <c:ser>
          <c:idx val="0"/>
          <c:order val="1"/>
          <c:tx>
            <c:v>Takeoff CG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424242"/>
              </a:solidFill>
              <a:ln>
                <a:solidFill>
                  <a:srgbClr val="424242"/>
                </a:solidFill>
              </a:ln>
            </c:spPr>
          </c:marker>
          <c:xVal>
            <c:numRef>
              <c:f>'N86MJ'!$E$21</c:f>
              <c:numCache/>
            </c:numRef>
          </c:xVal>
          <c:yVal>
            <c:numRef>
              <c:f>'N86MJ'!$D$21</c:f>
              <c:numCache/>
            </c:numRef>
          </c:yVal>
          <c:smooth val="0"/>
        </c:ser>
        <c:ser>
          <c:idx val="1"/>
          <c:order val="2"/>
          <c:tx>
            <c:v>Landing CG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424242"/>
              </a:solidFill>
              <a:ln>
                <a:solidFill>
                  <a:srgbClr val="424242"/>
                </a:solidFill>
              </a:ln>
            </c:spPr>
          </c:marker>
          <c:xVal>
            <c:numRef>
              <c:f>'N86MJ'!$E$23</c:f>
              <c:numCache/>
            </c:numRef>
          </c:xVal>
          <c:yVal>
            <c:numRef>
              <c:f>'N86MJ'!$D$23</c:f>
              <c:numCache/>
            </c:numRef>
          </c:yVal>
          <c:smooth val="0"/>
        </c:ser>
        <c:ser>
          <c:idx val="3"/>
          <c:order val="3"/>
          <c:tx>
            <c:v>Fuel Burn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('N86MJ'!$E$21,'N86MJ'!$E$23)</c:f>
              <c:numCache/>
            </c:numRef>
          </c:xVal>
          <c:yVal>
            <c:numRef>
              <c:f>('N86MJ'!$D$21,'N86MJ'!$D$23)</c:f>
              <c:numCache/>
            </c:numRef>
          </c:yVal>
          <c:smooth val="0"/>
        </c:ser>
        <c:axId val="38413444"/>
        <c:axId val="10176677"/>
      </c:scatterChart>
      <c:valAx>
        <c:axId val="38413444"/>
        <c:scaling>
          <c:orientation val="minMax"/>
          <c:max val="150"/>
          <c:min val="136"/>
        </c:scaling>
        <c:axPos val="b"/>
        <c:title>
          <c:tx>
            <c:rich>
              <a:bodyPr vert="horz" rot="0" anchor="ctr"/>
              <a:lstStyle/>
              <a:p>
                <a:pPr algn="ctr">
                  <a:defRPr/>
                </a:pPr>
                <a:r>
                  <a:rPr lang="en-US" cap="none" sz="800" b="1" i="0" u="none" baseline="0">
                    <a:solidFill>
                      <a:srgbClr val="000000"/>
                    </a:solidFill>
                  </a:rPr>
                  <a:t>C.G. - Inches Aft of Datum</a:t>
                </a:r>
              </a:p>
            </c:rich>
          </c:tx>
          <c:layout>
            <c:manualLayout>
              <c:xMode val="factor"/>
              <c:yMode val="factor"/>
              <c:x val="-0.004"/>
              <c:y val="-0.0112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000000"/>
            </a:solidFill>
          </a:ln>
        </c:spPr>
        <c:txPr>
          <a:bodyPr vert="horz" rot="0"/>
          <a:lstStyle/>
          <a:p>
            <a:pPr>
              <a:defRPr lang="en-US" cap="none" sz="625" b="0" i="0" u="none" baseline="0">
                <a:solidFill>
                  <a:srgbClr val="000000"/>
                </a:solidFill>
              </a:defRPr>
            </a:pPr>
          </a:p>
        </c:txPr>
        <c:crossAx val="10176677"/>
        <c:crosses val="autoZero"/>
        <c:crossBetween val="midCat"/>
        <c:dispUnits/>
        <c:majorUnit val="2"/>
        <c:minorUnit val="0.5"/>
      </c:valAx>
      <c:valAx>
        <c:axId val="10176677"/>
        <c:scaling>
          <c:orientation val="minMax"/>
          <c:max val="3600"/>
          <c:min val="2000"/>
        </c:scaling>
        <c:axPos val="l"/>
        <c:title>
          <c:tx>
            <c:rich>
              <a:bodyPr vert="horz" rot="-5400000" anchor="ctr"/>
              <a:lstStyle/>
              <a:p>
                <a:pPr algn="ctr">
                  <a:defRPr/>
                </a:pPr>
                <a:r>
                  <a:rPr lang="en-US" cap="none" sz="800" b="1" i="0" u="none" baseline="0">
                    <a:solidFill>
                      <a:srgbClr val="000000"/>
                    </a:solidFill>
                  </a:rPr>
                  <a:t>Weight (lbs)</a:t>
                </a:r>
              </a:p>
            </c:rich>
          </c:tx>
          <c:layout>
            <c:manualLayout>
              <c:xMode val="factor"/>
              <c:yMode val="factor"/>
              <c:x val="-0.011"/>
              <c:y val="-0.001"/>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defRPr>
            </a:pPr>
          </a:p>
        </c:txPr>
        <c:crossAx val="38413444"/>
        <c:crosses val="autoZero"/>
        <c:crossBetween val="midCat"/>
        <c:dispUnits/>
        <c:majorUnit val="200"/>
        <c:minorUnit val="50"/>
      </c:valAx>
      <c:spPr>
        <a:noFill/>
        <a:ln w="12700">
          <a:solidFill>
            <a:srgbClr val="000000"/>
          </a:solidFill>
        </a:ln>
      </c:spPr>
    </c:plotArea>
    <c:legend>
      <c:legendPos val="r"/>
      <c:layout>
        <c:manualLayout>
          <c:xMode val="edge"/>
          <c:yMode val="edge"/>
          <c:x val="0.119"/>
          <c:y val="0.952"/>
          <c:w val="0.74"/>
          <c:h val="0.0377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25"/>
          <c:y val="0.05525"/>
          <c:w val="0.93525"/>
          <c:h val="0.84875"/>
        </c:manualLayout>
      </c:layout>
      <c:scatterChart>
        <c:scatterStyle val="lineMarker"/>
        <c:varyColors val="0"/>
        <c:ser>
          <c:idx val="2"/>
          <c:order val="0"/>
          <c:tx>
            <c:v>Envelope</c:v>
          </c:tx>
          <c:spPr>
            <a:ln w="25400">
              <a:solidFill>
                <a:srgbClr val="424242"/>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'N443AP'!$C$28:$C$33</c:f>
              <c:numCache/>
            </c:numRef>
          </c:xVal>
          <c:yVal>
            <c:numRef>
              <c:f>'N443AP'!$B$28:$B$33</c:f>
              <c:numCache/>
            </c:numRef>
          </c:yVal>
          <c:smooth val="0"/>
        </c:ser>
        <c:ser>
          <c:idx val="0"/>
          <c:order val="1"/>
          <c:tx>
            <c:v>Takeoff CG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424242"/>
              </a:solidFill>
              <a:ln>
                <a:solidFill>
                  <a:srgbClr val="424242"/>
                </a:solidFill>
              </a:ln>
            </c:spPr>
          </c:marker>
          <c:xVal>
            <c:numRef>
              <c:f>'N443AP'!$E$20</c:f>
              <c:numCache/>
            </c:numRef>
          </c:xVal>
          <c:yVal>
            <c:numRef>
              <c:f>'N443AP'!$D$20</c:f>
              <c:numCache/>
            </c:numRef>
          </c:yVal>
          <c:smooth val="0"/>
        </c:ser>
        <c:ser>
          <c:idx val="1"/>
          <c:order val="2"/>
          <c:tx>
            <c:v>Landing CG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424242"/>
              </a:solidFill>
              <a:ln>
                <a:solidFill>
                  <a:srgbClr val="424242"/>
                </a:solidFill>
              </a:ln>
            </c:spPr>
          </c:marker>
          <c:xVal>
            <c:numRef>
              <c:f>'N443AP'!$E$22</c:f>
              <c:numCache/>
            </c:numRef>
          </c:xVal>
          <c:yVal>
            <c:numRef>
              <c:f>'N443AP'!$D$22</c:f>
              <c:numCache/>
            </c:numRef>
          </c:yVal>
          <c:smooth val="0"/>
        </c:ser>
        <c:ser>
          <c:idx val="3"/>
          <c:order val="3"/>
          <c:tx>
            <c:v>Takeoff Only</c:v>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'N443AP'!$E$28:$E$34</c:f>
              <c:numCache/>
            </c:numRef>
          </c:xVal>
          <c:yVal>
            <c:numRef>
              <c:f>'N443AP'!$D$28:$D$34</c:f>
              <c:numCache/>
            </c:numRef>
          </c:yVal>
          <c:smooth val="0"/>
        </c:ser>
        <c:ser>
          <c:idx val="4"/>
          <c:order val="4"/>
          <c:tx>
            <c:v>Fuel Burn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('N443AP'!$E$20,'N443AP'!$E$22)</c:f>
              <c:numCache/>
            </c:numRef>
          </c:xVal>
          <c:yVal>
            <c:numRef>
              <c:f>('N443AP'!$D$20,'N443AP'!$D$22)</c:f>
              <c:numCache/>
            </c:numRef>
          </c:yVal>
          <c:smooth val="0"/>
        </c:ser>
        <c:axId val="24481230"/>
        <c:axId val="19004479"/>
      </c:scatterChart>
      <c:valAx>
        <c:axId val="24481230"/>
        <c:scaling>
          <c:orientation val="minMax"/>
          <c:max val="150"/>
          <c:min val="136"/>
        </c:scaling>
        <c:axPos val="b"/>
        <c:title>
          <c:tx>
            <c:rich>
              <a:bodyPr vert="horz" rot="0" anchor="ctr"/>
              <a:lstStyle/>
              <a:p>
                <a:pPr algn="ctr">
                  <a:defRPr/>
                </a:pPr>
                <a:r>
                  <a:rPr lang="en-US" cap="none" sz="800" b="1" i="0" u="none" baseline="0">
                    <a:solidFill>
                      <a:srgbClr val="000000"/>
                    </a:solidFill>
                  </a:rPr>
                  <a:t>C.G. - Inches Aft of Datum</a:t>
                </a:r>
              </a:p>
            </c:rich>
          </c:tx>
          <c:layout>
            <c:manualLayout>
              <c:xMode val="factor"/>
              <c:yMode val="factor"/>
              <c:x val="-0.004"/>
              <c:y val="-0.0112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000000"/>
            </a:solidFill>
          </a:ln>
        </c:spPr>
        <c:txPr>
          <a:bodyPr vert="horz" rot="0"/>
          <a:lstStyle/>
          <a:p>
            <a:pPr>
              <a:defRPr lang="en-US" cap="none" sz="625" b="0" i="0" u="none" baseline="0">
                <a:solidFill>
                  <a:srgbClr val="000000"/>
                </a:solidFill>
              </a:defRPr>
            </a:pPr>
          </a:p>
        </c:txPr>
        <c:crossAx val="19004479"/>
        <c:crosses val="autoZero"/>
        <c:crossBetween val="midCat"/>
        <c:dispUnits/>
        <c:majorUnit val="2"/>
        <c:minorUnit val="0.5"/>
      </c:valAx>
      <c:valAx>
        <c:axId val="19004479"/>
        <c:scaling>
          <c:orientation val="minMax"/>
          <c:max val="3600"/>
          <c:min val="2000"/>
        </c:scaling>
        <c:axPos val="l"/>
        <c:title>
          <c:tx>
            <c:rich>
              <a:bodyPr vert="horz" rot="-5400000" anchor="ctr"/>
              <a:lstStyle/>
              <a:p>
                <a:pPr algn="ctr">
                  <a:defRPr/>
                </a:pPr>
                <a:r>
                  <a:rPr lang="en-US" cap="none" sz="800" b="1" i="0" u="none" baseline="0">
                    <a:solidFill>
                      <a:srgbClr val="000000"/>
                    </a:solidFill>
                  </a:rPr>
                  <a:t>Weight (lbs)</a:t>
                </a:r>
              </a:p>
            </c:rich>
          </c:tx>
          <c:layout>
            <c:manualLayout>
              <c:xMode val="factor"/>
              <c:yMode val="factor"/>
              <c:x val="-0.011"/>
              <c:y val="-0.001"/>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defRPr>
            </a:pPr>
          </a:p>
        </c:txPr>
        <c:crossAx val="24481230"/>
        <c:crosses val="autoZero"/>
        <c:crossBetween val="midCat"/>
        <c:dispUnits/>
        <c:majorUnit val="200"/>
        <c:minorUnit val="50"/>
      </c:valAx>
      <c:spPr>
        <a:noFill/>
        <a:ln w="12700">
          <a:solidFill>
            <a:srgbClr val="000000"/>
          </a:solidFill>
        </a:ln>
      </c:spPr>
    </c:plotArea>
    <c:legend>
      <c:legendPos val="r"/>
      <c:layout>
        <c:manualLayout>
          <c:xMode val="edge"/>
          <c:yMode val="edge"/>
          <c:x val="0.121"/>
          <c:y val="0.952"/>
          <c:w val="0.74"/>
          <c:h val="0.0377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455"/>
          <c:w val="0.934"/>
          <c:h val="0.86025"/>
        </c:manualLayout>
      </c:layout>
      <c:scatterChart>
        <c:scatterStyle val="lineMarker"/>
        <c:varyColors val="0"/>
        <c:ser>
          <c:idx val="2"/>
          <c:order val="0"/>
          <c:tx>
            <c:v>Envelope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'SR22T G5'!$C$29:$C$34</c:f>
              <c:numCache/>
            </c:numRef>
          </c:xVal>
          <c:yVal>
            <c:numRef>
              <c:f>'SR22T G5'!$B$29:$B$34</c:f>
              <c:numCache/>
            </c:numRef>
          </c:yVal>
          <c:smooth val="0"/>
        </c:ser>
        <c:ser>
          <c:idx val="0"/>
          <c:order val="1"/>
          <c:tx>
            <c:v>Takeoff CG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424242"/>
              </a:solidFill>
              <a:ln>
                <a:solidFill>
                  <a:srgbClr val="424242"/>
                </a:solidFill>
              </a:ln>
            </c:spPr>
          </c:marker>
          <c:xVal>
            <c:numRef>
              <c:f>'SR22T G5'!$E$21</c:f>
              <c:numCache/>
            </c:numRef>
          </c:xVal>
          <c:yVal>
            <c:numRef>
              <c:f>'SR22T G5'!$D$21</c:f>
              <c:numCache/>
            </c:numRef>
          </c:yVal>
          <c:smooth val="0"/>
        </c:ser>
        <c:ser>
          <c:idx val="1"/>
          <c:order val="2"/>
          <c:tx>
            <c:v>Landing CG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424242"/>
              </a:solidFill>
              <a:ln>
                <a:solidFill>
                  <a:srgbClr val="424242"/>
                </a:solidFill>
              </a:ln>
            </c:spPr>
          </c:marker>
          <c:xVal>
            <c:numRef>
              <c:f>'SR22T G5'!$E$23</c:f>
              <c:numCache/>
            </c:numRef>
          </c:xVal>
          <c:yVal>
            <c:numRef>
              <c:f>'SR22T G5'!$D$23</c:f>
              <c:numCache/>
            </c:numRef>
          </c:yVal>
          <c:smooth val="0"/>
        </c:ser>
        <c:ser>
          <c:idx val="3"/>
          <c:order val="3"/>
          <c:tx>
            <c:v>Fuel Burn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('SR22T G5'!$E$21,'SR22T G5'!$E$23)</c:f>
              <c:numCache/>
            </c:numRef>
          </c:xVal>
          <c:yVal>
            <c:numRef>
              <c:f>('SR22T G5'!$D$21,'SR22T G5'!$D$23)</c:f>
              <c:numCache/>
            </c:numRef>
          </c:yVal>
          <c:smooth val="0"/>
        </c:ser>
        <c:ser>
          <c:idx val="4"/>
          <c:order val="4"/>
          <c:tx>
            <c:v>Max Zero Fuel</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'SR22T G5'!$F$29:$F$30</c:f>
              <c:numCache/>
            </c:numRef>
          </c:xVal>
          <c:yVal>
            <c:numRef>
              <c:f>'SR22T G5'!$E$29:$E$30</c:f>
              <c:numCache/>
            </c:numRef>
          </c:yVal>
          <c:smooth val="0"/>
        </c:ser>
        <c:axId val="36822584"/>
        <c:axId val="62967801"/>
      </c:scatterChart>
      <c:valAx>
        <c:axId val="36822584"/>
        <c:scaling>
          <c:orientation val="minMax"/>
          <c:max val="150"/>
          <c:min val="136"/>
        </c:scaling>
        <c:axPos val="b"/>
        <c:title>
          <c:tx>
            <c:rich>
              <a:bodyPr vert="horz" rot="0" anchor="ctr"/>
              <a:lstStyle/>
              <a:p>
                <a:pPr algn="ctr">
                  <a:defRPr/>
                </a:pPr>
                <a:r>
                  <a:rPr lang="en-US" cap="none" sz="800" b="1" i="0" u="none" baseline="0">
                    <a:solidFill>
                      <a:srgbClr val="000000"/>
                    </a:solidFill>
                  </a:rPr>
                  <a:t>C.G. - Inches Aft of Datum</a:t>
                </a:r>
              </a:p>
            </c:rich>
          </c:tx>
          <c:layout>
            <c:manualLayout>
              <c:xMode val="factor"/>
              <c:yMode val="factor"/>
              <c:x val="-0.003"/>
              <c:y val="-0.0112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000000"/>
            </a:solidFill>
          </a:ln>
        </c:spPr>
        <c:txPr>
          <a:bodyPr vert="horz" rot="0"/>
          <a:lstStyle/>
          <a:p>
            <a:pPr>
              <a:defRPr lang="en-US" cap="none" sz="625" b="0" i="0" u="none" baseline="0">
                <a:solidFill>
                  <a:srgbClr val="000000"/>
                </a:solidFill>
              </a:defRPr>
            </a:pPr>
          </a:p>
        </c:txPr>
        <c:crossAx val="62967801"/>
        <c:crosses val="autoZero"/>
        <c:crossBetween val="midCat"/>
        <c:dispUnits/>
        <c:majorUnit val="2"/>
        <c:minorUnit val="0.5"/>
      </c:valAx>
      <c:valAx>
        <c:axId val="62967801"/>
        <c:scaling>
          <c:orientation val="minMax"/>
          <c:max val="3800"/>
          <c:min val="2000"/>
        </c:scaling>
        <c:axPos val="l"/>
        <c:title>
          <c:tx>
            <c:rich>
              <a:bodyPr vert="horz" rot="-5400000" anchor="ctr"/>
              <a:lstStyle/>
              <a:p>
                <a:pPr algn="ctr">
                  <a:defRPr/>
                </a:pPr>
                <a:r>
                  <a:rPr lang="en-US" cap="none" sz="800" b="1" i="0" u="none" baseline="0">
                    <a:solidFill>
                      <a:srgbClr val="000000"/>
                    </a:solidFill>
                  </a:rPr>
                  <a:t>Weight (lbs)</a:t>
                </a:r>
              </a:p>
            </c:rich>
          </c:tx>
          <c:layout>
            <c:manualLayout>
              <c:xMode val="factor"/>
              <c:yMode val="factor"/>
              <c:x val="-0.011"/>
              <c:y val="-0.003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defRPr>
            </a:pPr>
          </a:p>
        </c:txPr>
        <c:crossAx val="36822584"/>
        <c:crosses val="autoZero"/>
        <c:crossBetween val="midCat"/>
        <c:dispUnits/>
        <c:majorUnit val="200"/>
        <c:minorUnit val="50"/>
      </c:valAx>
      <c:spPr>
        <a:noFill/>
        <a:ln w="12700">
          <a:solidFill>
            <a:srgbClr val="000000"/>
          </a:solidFill>
        </a:ln>
      </c:spPr>
    </c:plotArea>
    <c:legend>
      <c:legendPos val="r"/>
      <c:layout>
        <c:manualLayout>
          <c:xMode val="edge"/>
          <c:yMode val="edge"/>
          <c:x val="0.1085"/>
          <c:y val="0.95025"/>
          <c:w val="0.6845"/>
          <c:h val="0.046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455"/>
          <c:w val="0.934"/>
          <c:h val="0.86025"/>
        </c:manualLayout>
      </c:layout>
      <c:scatterChart>
        <c:scatterStyle val="lineMarker"/>
        <c:varyColors val="0"/>
        <c:ser>
          <c:idx val="2"/>
          <c:order val="0"/>
          <c:tx>
            <c:v>Envelope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'SR22 G5 '!$C$29:$C$34</c:f>
              <c:numCache/>
            </c:numRef>
          </c:xVal>
          <c:yVal>
            <c:numRef>
              <c:f>'SR22 G5 '!$B$29:$B$34</c:f>
              <c:numCache/>
            </c:numRef>
          </c:yVal>
          <c:smooth val="0"/>
        </c:ser>
        <c:ser>
          <c:idx val="0"/>
          <c:order val="1"/>
          <c:tx>
            <c:v>Takeoff CG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424242"/>
              </a:solidFill>
              <a:ln>
                <a:solidFill>
                  <a:srgbClr val="424242"/>
                </a:solidFill>
              </a:ln>
            </c:spPr>
          </c:marker>
          <c:xVal>
            <c:numRef>
              <c:f>'SR22 G5 '!$E$21</c:f>
              <c:numCache/>
            </c:numRef>
          </c:xVal>
          <c:yVal>
            <c:numRef>
              <c:f>'SR22 G5 '!$D$21</c:f>
              <c:numCache/>
            </c:numRef>
          </c:yVal>
          <c:smooth val="0"/>
        </c:ser>
        <c:ser>
          <c:idx val="1"/>
          <c:order val="2"/>
          <c:tx>
            <c:v>Landing CG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424242"/>
              </a:solidFill>
              <a:ln>
                <a:solidFill>
                  <a:srgbClr val="424242"/>
                </a:solidFill>
              </a:ln>
            </c:spPr>
          </c:marker>
          <c:xVal>
            <c:numRef>
              <c:f>'SR22 G5 '!$E$23</c:f>
              <c:numCache/>
            </c:numRef>
          </c:xVal>
          <c:yVal>
            <c:numRef>
              <c:f>'SR22 G5 '!$D$23</c:f>
              <c:numCache/>
            </c:numRef>
          </c:yVal>
          <c:smooth val="0"/>
        </c:ser>
        <c:ser>
          <c:idx val="3"/>
          <c:order val="3"/>
          <c:tx>
            <c:v>Fuel Burn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('SR22 G5 '!$E$21,'SR22 G5 '!$E$23)</c:f>
              <c:numCache/>
            </c:numRef>
          </c:xVal>
          <c:yVal>
            <c:numRef>
              <c:f>('SR22 G5 '!$D$21,'SR22 G5 '!$D$23)</c:f>
              <c:numCache/>
            </c:numRef>
          </c:yVal>
          <c:smooth val="0"/>
        </c:ser>
        <c:ser>
          <c:idx val="4"/>
          <c:order val="4"/>
          <c:tx>
            <c:v>Max Zero Fuel</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'SR22 G5 '!$F$29:$F$30</c:f>
              <c:numCache/>
            </c:numRef>
          </c:xVal>
          <c:yVal>
            <c:numRef>
              <c:f>'SR22 G5 '!$E$29:$E$30</c:f>
              <c:numCache/>
            </c:numRef>
          </c:yVal>
          <c:smooth val="0"/>
        </c:ser>
        <c:axId val="29839298"/>
        <c:axId val="118227"/>
      </c:scatterChart>
      <c:valAx>
        <c:axId val="29839298"/>
        <c:scaling>
          <c:orientation val="minMax"/>
          <c:max val="150"/>
          <c:min val="136"/>
        </c:scaling>
        <c:axPos val="b"/>
        <c:title>
          <c:tx>
            <c:rich>
              <a:bodyPr vert="horz" rot="0" anchor="ctr"/>
              <a:lstStyle/>
              <a:p>
                <a:pPr algn="ctr">
                  <a:defRPr/>
                </a:pPr>
                <a:r>
                  <a:rPr lang="en-US" cap="none" sz="800" b="1" i="0" u="none" baseline="0">
                    <a:solidFill>
                      <a:srgbClr val="000000"/>
                    </a:solidFill>
                  </a:rPr>
                  <a:t>C.G. - Inches Aft of Datum</a:t>
                </a:r>
              </a:p>
            </c:rich>
          </c:tx>
          <c:layout>
            <c:manualLayout>
              <c:xMode val="factor"/>
              <c:yMode val="factor"/>
              <c:x val="-0.003"/>
              <c:y val="-0.0112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000000"/>
            </a:solidFill>
          </a:ln>
        </c:spPr>
        <c:txPr>
          <a:bodyPr vert="horz" rot="0"/>
          <a:lstStyle/>
          <a:p>
            <a:pPr>
              <a:defRPr lang="en-US" cap="none" sz="625" b="0" i="0" u="none" baseline="0">
                <a:solidFill>
                  <a:srgbClr val="000000"/>
                </a:solidFill>
              </a:defRPr>
            </a:pPr>
          </a:p>
        </c:txPr>
        <c:crossAx val="118227"/>
        <c:crosses val="autoZero"/>
        <c:crossBetween val="midCat"/>
        <c:dispUnits/>
        <c:majorUnit val="2"/>
        <c:minorUnit val="0.5"/>
      </c:valAx>
      <c:valAx>
        <c:axId val="118227"/>
        <c:scaling>
          <c:orientation val="minMax"/>
          <c:max val="3800"/>
          <c:min val="2000"/>
        </c:scaling>
        <c:axPos val="l"/>
        <c:title>
          <c:tx>
            <c:rich>
              <a:bodyPr vert="horz" rot="-5400000" anchor="ctr"/>
              <a:lstStyle/>
              <a:p>
                <a:pPr algn="ctr">
                  <a:defRPr/>
                </a:pPr>
                <a:r>
                  <a:rPr lang="en-US" cap="none" sz="800" b="1" i="0" u="none" baseline="0">
                    <a:solidFill>
                      <a:srgbClr val="000000"/>
                    </a:solidFill>
                  </a:rPr>
                  <a:t>Weight (lbs)</a:t>
                </a:r>
              </a:p>
            </c:rich>
          </c:tx>
          <c:layout>
            <c:manualLayout>
              <c:xMode val="factor"/>
              <c:yMode val="factor"/>
              <c:x val="-0.011"/>
              <c:y val="-0.003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defRPr>
            </a:pPr>
          </a:p>
        </c:txPr>
        <c:crossAx val="29839298"/>
        <c:crosses val="autoZero"/>
        <c:crossBetween val="midCat"/>
        <c:dispUnits/>
        <c:majorUnit val="200"/>
        <c:minorUnit val="50"/>
      </c:valAx>
      <c:spPr>
        <a:noFill/>
        <a:ln w="12700">
          <a:solidFill>
            <a:srgbClr val="000000"/>
          </a:solidFill>
        </a:ln>
      </c:spPr>
    </c:plotArea>
    <c:legend>
      <c:legendPos val="r"/>
      <c:layout>
        <c:manualLayout>
          <c:xMode val="edge"/>
          <c:yMode val="edge"/>
          <c:x val="0.1085"/>
          <c:y val="0.95025"/>
          <c:w val="0.6845"/>
          <c:h val="0.046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35"/>
          <c:w val="0.936"/>
          <c:h val="0.8515"/>
        </c:manualLayout>
      </c:layout>
      <c:scatterChart>
        <c:scatterStyle val="lineMarker"/>
        <c:varyColors val="0"/>
        <c:ser>
          <c:idx val="2"/>
          <c:order val="0"/>
          <c:tx>
            <c:v>Envelope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'SR22T G3'!$C$29:$C$34</c:f>
              <c:numCache/>
            </c:numRef>
          </c:xVal>
          <c:yVal>
            <c:numRef>
              <c:f>'SR22T G3'!$B$29:$B$34</c:f>
              <c:numCache/>
            </c:numRef>
          </c:yVal>
          <c:smooth val="0"/>
        </c:ser>
        <c:ser>
          <c:idx val="0"/>
          <c:order val="1"/>
          <c:tx>
            <c:v>Takeoff CG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424242"/>
              </a:solidFill>
              <a:ln>
                <a:solidFill>
                  <a:srgbClr val="424242"/>
                </a:solidFill>
              </a:ln>
            </c:spPr>
          </c:marker>
          <c:xVal>
            <c:numRef>
              <c:f>'SR22T G3'!$E$21</c:f>
              <c:numCache/>
            </c:numRef>
          </c:xVal>
          <c:yVal>
            <c:numRef>
              <c:f>'SR22T G3'!$D$21</c:f>
              <c:numCache/>
            </c:numRef>
          </c:yVal>
          <c:smooth val="0"/>
        </c:ser>
        <c:ser>
          <c:idx val="1"/>
          <c:order val="2"/>
          <c:tx>
            <c:v>Landing CG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424242"/>
              </a:solidFill>
              <a:ln>
                <a:solidFill>
                  <a:srgbClr val="424242"/>
                </a:solidFill>
              </a:ln>
            </c:spPr>
          </c:marker>
          <c:xVal>
            <c:numRef>
              <c:f>'SR22T G3'!$E$23</c:f>
              <c:numCache/>
            </c:numRef>
          </c:xVal>
          <c:yVal>
            <c:numRef>
              <c:f>'SR22T G3'!$D$23</c:f>
              <c:numCache/>
            </c:numRef>
          </c:yVal>
          <c:smooth val="0"/>
        </c:ser>
        <c:ser>
          <c:idx val="3"/>
          <c:order val="3"/>
          <c:tx>
            <c:v>Fuel Burn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('SR22T G3'!$E$21,'SR22T G3'!$E$23)</c:f>
              <c:numCache/>
            </c:numRef>
          </c:xVal>
          <c:yVal>
            <c:numRef>
              <c:f>('SR22T G3'!$D$21,'SR22T G3'!$D$23)</c:f>
              <c:numCache/>
            </c:numRef>
          </c:yVal>
          <c:smooth val="0"/>
        </c:ser>
        <c:axId val="1064044"/>
        <c:axId val="9576397"/>
      </c:scatterChart>
      <c:valAx>
        <c:axId val="1064044"/>
        <c:scaling>
          <c:orientation val="minMax"/>
          <c:max val="150"/>
          <c:min val="136"/>
        </c:scaling>
        <c:axPos val="b"/>
        <c:title>
          <c:tx>
            <c:rich>
              <a:bodyPr vert="horz" rot="0" anchor="ctr"/>
              <a:lstStyle/>
              <a:p>
                <a:pPr algn="ctr">
                  <a:defRPr/>
                </a:pPr>
                <a:r>
                  <a:rPr lang="en-US" cap="none" sz="800" b="1" i="0" u="none" baseline="0">
                    <a:solidFill>
                      <a:srgbClr val="000000"/>
                    </a:solidFill>
                  </a:rPr>
                  <a:t>C.G. - Inches Aft of Datum</a:t>
                </a:r>
              </a:p>
            </c:rich>
          </c:tx>
          <c:layout>
            <c:manualLayout>
              <c:xMode val="factor"/>
              <c:yMode val="factor"/>
              <c:x val="-0.004"/>
              <c:y val="-0.0112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000000"/>
            </a:solidFill>
          </a:ln>
        </c:spPr>
        <c:txPr>
          <a:bodyPr vert="horz" rot="0"/>
          <a:lstStyle/>
          <a:p>
            <a:pPr>
              <a:defRPr lang="en-US" cap="none" sz="625" b="0" i="0" u="none" baseline="0">
                <a:solidFill>
                  <a:srgbClr val="000000"/>
                </a:solidFill>
              </a:defRPr>
            </a:pPr>
          </a:p>
        </c:txPr>
        <c:crossAx val="9576397"/>
        <c:crosses val="autoZero"/>
        <c:crossBetween val="midCat"/>
        <c:dispUnits/>
        <c:majorUnit val="2"/>
        <c:minorUnit val="0.5"/>
      </c:valAx>
      <c:valAx>
        <c:axId val="9576397"/>
        <c:scaling>
          <c:orientation val="minMax"/>
          <c:max val="3600"/>
          <c:min val="2000"/>
        </c:scaling>
        <c:axPos val="l"/>
        <c:title>
          <c:tx>
            <c:rich>
              <a:bodyPr vert="horz" rot="-5400000" anchor="ctr"/>
              <a:lstStyle/>
              <a:p>
                <a:pPr algn="ctr">
                  <a:defRPr/>
                </a:pPr>
                <a:r>
                  <a:rPr lang="en-US" cap="none" sz="800" b="1" i="0" u="none" baseline="0">
                    <a:solidFill>
                      <a:srgbClr val="000000"/>
                    </a:solidFill>
                  </a:rPr>
                  <a:t>Weight (lbs)</a:t>
                </a:r>
              </a:p>
            </c:rich>
          </c:tx>
          <c:layout>
            <c:manualLayout>
              <c:xMode val="factor"/>
              <c:yMode val="factor"/>
              <c:x val="-0.011"/>
              <c:y val="-0.001"/>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defRPr>
            </a:pPr>
          </a:p>
        </c:txPr>
        <c:crossAx val="1064044"/>
        <c:crosses val="autoZero"/>
        <c:crossBetween val="midCat"/>
        <c:dispUnits/>
        <c:majorUnit val="200"/>
        <c:minorUnit val="50"/>
      </c:valAx>
      <c:spPr>
        <a:noFill/>
        <a:ln w="12700">
          <a:solidFill>
            <a:srgbClr val="000000"/>
          </a:solidFill>
        </a:ln>
      </c:spPr>
    </c:plotArea>
    <c:legend>
      <c:legendPos val="r"/>
      <c:layout>
        <c:manualLayout>
          <c:xMode val="edge"/>
          <c:yMode val="edge"/>
          <c:x val="0.119"/>
          <c:y val="0.952"/>
          <c:w val="0.74"/>
          <c:h val="0.0377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6"/>
          <c:w val="0.936"/>
          <c:h val="0.849"/>
        </c:manualLayout>
      </c:layout>
      <c:scatterChart>
        <c:scatterStyle val="lineMarker"/>
        <c:varyColors val="0"/>
        <c:ser>
          <c:idx val="2"/>
          <c:order val="0"/>
          <c:tx>
            <c:v>Envelope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'SR22 G3'!$C$29:$C$34</c:f>
              <c:numCache/>
            </c:numRef>
          </c:xVal>
          <c:yVal>
            <c:numRef>
              <c:f>'SR22 G3'!$B$29:$B$34</c:f>
              <c:numCache/>
            </c:numRef>
          </c:yVal>
          <c:smooth val="0"/>
        </c:ser>
        <c:ser>
          <c:idx val="0"/>
          <c:order val="1"/>
          <c:tx>
            <c:v>Takeoff CG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424242"/>
              </a:solidFill>
              <a:ln>
                <a:solidFill>
                  <a:srgbClr val="424242"/>
                </a:solidFill>
              </a:ln>
            </c:spPr>
          </c:marker>
          <c:xVal>
            <c:numRef>
              <c:f>'SR22 G3'!$E$21</c:f>
              <c:numCache/>
            </c:numRef>
          </c:xVal>
          <c:yVal>
            <c:numRef>
              <c:f>'SR22 G3'!$D$21</c:f>
              <c:numCache/>
            </c:numRef>
          </c:yVal>
          <c:smooth val="0"/>
        </c:ser>
        <c:ser>
          <c:idx val="1"/>
          <c:order val="2"/>
          <c:tx>
            <c:v>Landing CG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424242"/>
              </a:solidFill>
              <a:ln>
                <a:solidFill>
                  <a:srgbClr val="424242"/>
                </a:solidFill>
              </a:ln>
            </c:spPr>
          </c:marker>
          <c:xVal>
            <c:numRef>
              <c:f>'SR22 G3'!$E$23</c:f>
              <c:numCache/>
            </c:numRef>
          </c:xVal>
          <c:yVal>
            <c:numRef>
              <c:f>'SR22 G3'!$D$23</c:f>
              <c:numCache/>
            </c:numRef>
          </c:yVal>
          <c:smooth val="0"/>
        </c:ser>
        <c:ser>
          <c:idx val="3"/>
          <c:order val="3"/>
          <c:tx>
            <c:v>Fuel Burn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('SR22 G3'!$E$21,'SR22 G3'!$E$23)</c:f>
              <c:numCache/>
            </c:numRef>
          </c:xVal>
          <c:yVal>
            <c:numRef>
              <c:f>('SR22 G3'!$D$21,'SR22 G3'!$D$23)</c:f>
              <c:numCache/>
            </c:numRef>
          </c:yVal>
          <c:smooth val="0"/>
        </c:ser>
        <c:axId val="19078710"/>
        <c:axId val="37490663"/>
      </c:scatterChart>
      <c:valAx>
        <c:axId val="19078710"/>
        <c:scaling>
          <c:orientation val="minMax"/>
          <c:max val="150"/>
          <c:min val="136"/>
        </c:scaling>
        <c:axPos val="b"/>
        <c:title>
          <c:tx>
            <c:rich>
              <a:bodyPr vert="horz" rot="0" anchor="ctr"/>
              <a:lstStyle/>
              <a:p>
                <a:pPr algn="ctr">
                  <a:defRPr/>
                </a:pPr>
                <a:r>
                  <a:rPr lang="en-US" cap="none" sz="800" b="1" i="0" u="none" baseline="0">
                    <a:solidFill>
                      <a:srgbClr val="000000"/>
                    </a:solidFill>
                  </a:rPr>
                  <a:t>C.G. - Inches Aft of Datum</a:t>
                </a:r>
              </a:p>
            </c:rich>
          </c:tx>
          <c:layout>
            <c:manualLayout>
              <c:xMode val="factor"/>
              <c:yMode val="factor"/>
              <c:x val="-0.004"/>
              <c:y val="-0.0112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000000"/>
            </a:solidFill>
          </a:ln>
        </c:spPr>
        <c:txPr>
          <a:bodyPr vert="horz" rot="0"/>
          <a:lstStyle/>
          <a:p>
            <a:pPr>
              <a:defRPr lang="en-US" cap="none" sz="625" b="0" i="0" u="none" baseline="0">
                <a:solidFill>
                  <a:srgbClr val="000000"/>
                </a:solidFill>
              </a:defRPr>
            </a:pPr>
          </a:p>
        </c:txPr>
        <c:crossAx val="37490663"/>
        <c:crosses val="autoZero"/>
        <c:crossBetween val="midCat"/>
        <c:dispUnits/>
        <c:majorUnit val="2"/>
        <c:minorUnit val="0.5"/>
      </c:valAx>
      <c:valAx>
        <c:axId val="37490663"/>
        <c:scaling>
          <c:orientation val="minMax"/>
          <c:max val="3600"/>
          <c:min val="2000"/>
        </c:scaling>
        <c:axPos val="l"/>
        <c:title>
          <c:tx>
            <c:rich>
              <a:bodyPr vert="horz" rot="-5400000" anchor="ctr"/>
              <a:lstStyle/>
              <a:p>
                <a:pPr algn="ctr">
                  <a:defRPr/>
                </a:pPr>
                <a:r>
                  <a:rPr lang="en-US" cap="none" sz="800" b="1" i="0" u="none" baseline="0">
                    <a:solidFill>
                      <a:srgbClr val="000000"/>
                    </a:solidFill>
                  </a:rPr>
                  <a:t>Weight (lbs)</a:t>
                </a:r>
              </a:p>
            </c:rich>
          </c:tx>
          <c:layout>
            <c:manualLayout>
              <c:xMode val="factor"/>
              <c:yMode val="factor"/>
              <c:x val="-0.011"/>
              <c:y val="-0.001"/>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defRPr>
            </a:pPr>
          </a:p>
        </c:txPr>
        <c:crossAx val="19078710"/>
        <c:crosses val="autoZero"/>
        <c:crossBetween val="midCat"/>
        <c:dispUnits/>
        <c:majorUnit val="200"/>
        <c:minorUnit val="50"/>
      </c:valAx>
      <c:spPr>
        <a:noFill/>
        <a:ln w="12700">
          <a:solidFill>
            <a:srgbClr val="000000"/>
          </a:solidFill>
        </a:ln>
      </c:spPr>
    </c:plotArea>
    <c:legend>
      <c:legendPos val="r"/>
      <c:layout>
        <c:manualLayout>
          <c:xMode val="edge"/>
          <c:yMode val="edge"/>
          <c:x val="0.119"/>
          <c:y val="0.952"/>
          <c:w val="0.74"/>
          <c:h val="0.0377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6"/>
          <c:w val="0.936"/>
          <c:h val="0.849"/>
        </c:manualLayout>
      </c:layout>
      <c:scatterChart>
        <c:scatterStyle val="lineMarker"/>
        <c:varyColors val="0"/>
        <c:ser>
          <c:idx val="2"/>
          <c:order val="0"/>
          <c:tx>
            <c:v>Envelope</c:v>
          </c:tx>
          <c:spPr>
            <a:ln w="25400">
              <a:solidFill>
                <a:srgbClr val="424242"/>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'SR22 G1, G2'!$C$28:$C$33</c:f>
              <c:numCache/>
            </c:numRef>
          </c:xVal>
          <c:yVal>
            <c:numRef>
              <c:f>'SR22 G1, G2'!$B$28:$B$33</c:f>
              <c:numCache/>
            </c:numRef>
          </c:yVal>
          <c:smooth val="0"/>
        </c:ser>
        <c:ser>
          <c:idx val="0"/>
          <c:order val="1"/>
          <c:tx>
            <c:v>Takeoff CG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424242"/>
              </a:solidFill>
              <a:ln>
                <a:solidFill>
                  <a:srgbClr val="424242"/>
                </a:solidFill>
              </a:ln>
            </c:spPr>
          </c:marker>
          <c:xVal>
            <c:numRef>
              <c:f>'SR22 G1, G2'!$E$20</c:f>
              <c:numCache/>
            </c:numRef>
          </c:xVal>
          <c:yVal>
            <c:numRef>
              <c:f>'SR22 G1, G2'!$D$20</c:f>
              <c:numCache/>
            </c:numRef>
          </c:yVal>
          <c:smooth val="0"/>
        </c:ser>
        <c:ser>
          <c:idx val="1"/>
          <c:order val="2"/>
          <c:tx>
            <c:v>Landing CG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424242"/>
              </a:solidFill>
              <a:ln>
                <a:solidFill>
                  <a:srgbClr val="424242"/>
                </a:solidFill>
              </a:ln>
            </c:spPr>
          </c:marker>
          <c:xVal>
            <c:numRef>
              <c:f>'SR22 G1, G2'!$E$22</c:f>
              <c:numCache/>
            </c:numRef>
          </c:xVal>
          <c:yVal>
            <c:numRef>
              <c:f>'SR22 G1, G2'!$D$22</c:f>
              <c:numCache/>
            </c:numRef>
          </c:yVal>
          <c:smooth val="0"/>
        </c:ser>
        <c:ser>
          <c:idx val="3"/>
          <c:order val="3"/>
          <c:tx>
            <c:v>Takeoff Only</c:v>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'SR22 G1, G2'!$E$28:$E$34</c:f>
              <c:numCache/>
            </c:numRef>
          </c:xVal>
          <c:yVal>
            <c:numRef>
              <c:f>'SR22 G1, G2'!$D$28:$D$34</c:f>
              <c:numCache/>
            </c:numRef>
          </c:yVal>
          <c:smooth val="0"/>
        </c:ser>
        <c:ser>
          <c:idx val="4"/>
          <c:order val="4"/>
          <c:tx>
            <c:v>Fuel Burn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('SR22 G1, G2'!$E$20,'SR22 G1, G2'!$E$22)</c:f>
              <c:numCache/>
            </c:numRef>
          </c:xVal>
          <c:yVal>
            <c:numRef>
              <c:f>('SR22 G1, G2'!$D$20,'SR22 G1, G2'!$D$22)</c:f>
              <c:numCache/>
            </c:numRef>
          </c:yVal>
          <c:smooth val="0"/>
        </c:ser>
        <c:axId val="1871648"/>
        <c:axId val="16844833"/>
      </c:scatterChart>
      <c:valAx>
        <c:axId val="1871648"/>
        <c:scaling>
          <c:orientation val="minMax"/>
          <c:max val="150"/>
          <c:min val="136"/>
        </c:scaling>
        <c:axPos val="b"/>
        <c:title>
          <c:tx>
            <c:rich>
              <a:bodyPr vert="horz" rot="0" anchor="ctr"/>
              <a:lstStyle/>
              <a:p>
                <a:pPr algn="ctr">
                  <a:defRPr/>
                </a:pPr>
                <a:r>
                  <a:rPr lang="en-US" cap="none" sz="800" b="1" i="0" u="none" baseline="0">
                    <a:solidFill>
                      <a:srgbClr val="000000"/>
                    </a:solidFill>
                  </a:rPr>
                  <a:t>C.G. - Inches Aft of Datum</a:t>
                </a:r>
              </a:p>
            </c:rich>
          </c:tx>
          <c:layout>
            <c:manualLayout>
              <c:xMode val="factor"/>
              <c:yMode val="factor"/>
              <c:x val="-0.004"/>
              <c:y val="-0.0112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000000"/>
            </a:solidFill>
          </a:ln>
        </c:spPr>
        <c:txPr>
          <a:bodyPr vert="horz" rot="0"/>
          <a:lstStyle/>
          <a:p>
            <a:pPr>
              <a:defRPr lang="en-US" cap="none" sz="625" b="0" i="0" u="none" baseline="0">
                <a:solidFill>
                  <a:srgbClr val="000000"/>
                </a:solidFill>
              </a:defRPr>
            </a:pPr>
          </a:p>
        </c:txPr>
        <c:crossAx val="16844833"/>
        <c:crosses val="autoZero"/>
        <c:crossBetween val="midCat"/>
        <c:dispUnits/>
        <c:majorUnit val="2"/>
        <c:minorUnit val="0.5"/>
      </c:valAx>
      <c:valAx>
        <c:axId val="16844833"/>
        <c:scaling>
          <c:orientation val="minMax"/>
          <c:max val="3600"/>
          <c:min val="2000"/>
        </c:scaling>
        <c:axPos val="l"/>
        <c:title>
          <c:tx>
            <c:rich>
              <a:bodyPr vert="horz" rot="-5400000" anchor="ctr"/>
              <a:lstStyle/>
              <a:p>
                <a:pPr algn="ctr">
                  <a:defRPr/>
                </a:pPr>
                <a:r>
                  <a:rPr lang="en-US" cap="none" sz="800" b="1" i="0" u="none" baseline="0">
                    <a:solidFill>
                      <a:srgbClr val="000000"/>
                    </a:solidFill>
                  </a:rPr>
                  <a:t>Weight (lbs)</a:t>
                </a:r>
              </a:p>
            </c:rich>
          </c:tx>
          <c:layout>
            <c:manualLayout>
              <c:xMode val="factor"/>
              <c:yMode val="factor"/>
              <c:x val="-0.011"/>
              <c:y val="-0.001"/>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defRPr>
            </a:pPr>
          </a:p>
        </c:txPr>
        <c:crossAx val="1871648"/>
        <c:crosses val="autoZero"/>
        <c:crossBetween val="midCat"/>
        <c:dispUnits/>
        <c:majorUnit val="200"/>
        <c:minorUnit val="50"/>
      </c:valAx>
      <c:spPr>
        <a:noFill/>
        <a:ln w="12700">
          <a:solidFill>
            <a:srgbClr val="000000"/>
          </a:solidFill>
        </a:ln>
      </c:spPr>
    </c:plotArea>
    <c:legend>
      <c:legendPos val="r"/>
      <c:layout>
        <c:manualLayout>
          <c:xMode val="edge"/>
          <c:yMode val="edge"/>
          <c:x val="0.121"/>
          <c:y val="0.952"/>
          <c:w val="0.74"/>
          <c:h val="0.0377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25"/>
          <c:y val="0.05525"/>
          <c:w val="0.93525"/>
          <c:h val="0.84875"/>
        </c:manualLayout>
      </c:layout>
      <c:scatterChart>
        <c:scatterStyle val="lineMarker"/>
        <c:varyColors val="0"/>
        <c:ser>
          <c:idx val="2"/>
          <c:order val="0"/>
          <c:tx>
            <c:v>Envelope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'SR20 G3'!$C$27:$C$32</c:f>
              <c:numCache/>
            </c:numRef>
          </c:xVal>
          <c:yVal>
            <c:numRef>
              <c:f>'SR20 G3'!$B$27:$B$32</c:f>
              <c:numCache/>
            </c:numRef>
          </c:yVal>
          <c:smooth val="0"/>
        </c:ser>
        <c:ser>
          <c:idx val="0"/>
          <c:order val="1"/>
          <c:tx>
            <c:v>Takeoff CG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424242"/>
              </a:solidFill>
              <a:ln>
                <a:solidFill>
                  <a:srgbClr val="424242"/>
                </a:solidFill>
              </a:ln>
            </c:spPr>
          </c:marker>
          <c:xVal>
            <c:numRef>
              <c:f>'SR20 G3'!$E$19</c:f>
              <c:numCache/>
            </c:numRef>
          </c:xVal>
          <c:yVal>
            <c:numRef>
              <c:f>'SR20 G3'!$D$19</c:f>
              <c:numCache/>
            </c:numRef>
          </c:yVal>
          <c:smooth val="0"/>
        </c:ser>
        <c:ser>
          <c:idx val="1"/>
          <c:order val="2"/>
          <c:tx>
            <c:v>Landing CG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424242"/>
              </a:solidFill>
              <a:ln>
                <a:solidFill>
                  <a:srgbClr val="424242"/>
                </a:solidFill>
              </a:ln>
            </c:spPr>
          </c:marker>
          <c:xVal>
            <c:numRef>
              <c:f>'SR20 G3'!$E$21</c:f>
              <c:numCache/>
            </c:numRef>
          </c:xVal>
          <c:yVal>
            <c:numRef>
              <c:f>'SR20 G3'!$D$21</c:f>
              <c:numCache/>
            </c:numRef>
          </c:yVal>
          <c:smooth val="0"/>
        </c:ser>
        <c:ser>
          <c:idx val="3"/>
          <c:order val="3"/>
          <c:tx>
            <c:v>Fuel Burn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('SR20 G3'!$E$19,'SR20 G3'!$E$21)</c:f>
              <c:numCache/>
            </c:numRef>
          </c:xVal>
          <c:yVal>
            <c:numRef>
              <c:f>('SR20 G3'!$D$19,'SR20 G3'!$D$21)</c:f>
              <c:numCache/>
            </c:numRef>
          </c:yVal>
          <c:smooth val="0"/>
        </c:ser>
        <c:axId val="17385770"/>
        <c:axId val="22254203"/>
      </c:scatterChart>
      <c:valAx>
        <c:axId val="17385770"/>
        <c:scaling>
          <c:orientation val="minMax"/>
          <c:max val="150"/>
          <c:min val="136"/>
        </c:scaling>
        <c:axPos val="b"/>
        <c:title>
          <c:tx>
            <c:rich>
              <a:bodyPr vert="horz" rot="0" anchor="ctr"/>
              <a:lstStyle/>
              <a:p>
                <a:pPr algn="ctr">
                  <a:defRPr/>
                </a:pPr>
                <a:r>
                  <a:rPr lang="en-US" cap="none" sz="800" b="1" i="0" u="none" baseline="0">
                    <a:solidFill>
                      <a:srgbClr val="000000"/>
                    </a:solidFill>
                  </a:rPr>
                  <a:t>C.G. - Inches Aft of Datum</a:t>
                </a:r>
              </a:p>
            </c:rich>
          </c:tx>
          <c:layout>
            <c:manualLayout>
              <c:xMode val="factor"/>
              <c:yMode val="factor"/>
              <c:x val="-0.004"/>
              <c:y val="-0.0112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000000"/>
            </a:solidFill>
          </a:ln>
        </c:spPr>
        <c:txPr>
          <a:bodyPr vert="horz" rot="0"/>
          <a:lstStyle/>
          <a:p>
            <a:pPr>
              <a:defRPr lang="en-US" cap="none" sz="625" b="0" i="0" u="none" baseline="0">
                <a:solidFill>
                  <a:srgbClr val="000000"/>
                </a:solidFill>
              </a:defRPr>
            </a:pPr>
          </a:p>
        </c:txPr>
        <c:crossAx val="22254203"/>
        <c:crosses val="autoZero"/>
        <c:crossBetween val="midCat"/>
        <c:dispUnits/>
        <c:majorUnit val="2"/>
        <c:minorUnit val="0.5"/>
      </c:valAx>
      <c:valAx>
        <c:axId val="22254203"/>
        <c:scaling>
          <c:orientation val="minMax"/>
          <c:max val="3200"/>
          <c:min val="2000"/>
        </c:scaling>
        <c:axPos val="l"/>
        <c:title>
          <c:tx>
            <c:rich>
              <a:bodyPr vert="horz" rot="-5400000" anchor="ctr"/>
              <a:lstStyle/>
              <a:p>
                <a:pPr algn="ctr">
                  <a:defRPr/>
                </a:pPr>
                <a:r>
                  <a:rPr lang="en-US" cap="none" sz="800" b="1" i="0" u="none" baseline="0">
                    <a:solidFill>
                      <a:srgbClr val="000000"/>
                    </a:solidFill>
                  </a:rPr>
                  <a:t>Weight (lbs)</a:t>
                </a:r>
              </a:p>
            </c:rich>
          </c:tx>
          <c:layout>
            <c:manualLayout>
              <c:xMode val="factor"/>
              <c:yMode val="factor"/>
              <c:x val="-0.011"/>
              <c:y val="-0.001"/>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defRPr>
            </a:pPr>
          </a:p>
        </c:txPr>
        <c:crossAx val="17385770"/>
        <c:crosses val="autoZero"/>
        <c:crossBetween val="midCat"/>
        <c:dispUnits/>
        <c:majorUnit val="200"/>
        <c:minorUnit val="50"/>
      </c:valAx>
      <c:spPr>
        <a:noFill/>
        <a:ln w="12700">
          <a:solidFill>
            <a:srgbClr val="000000"/>
          </a:solidFill>
        </a:ln>
      </c:spPr>
    </c:plotArea>
    <c:legend>
      <c:legendPos val="r"/>
      <c:layout>
        <c:manualLayout>
          <c:xMode val="edge"/>
          <c:yMode val="edge"/>
          <c:x val="0.115"/>
          <c:y val="0.95875"/>
          <c:w val="0.74"/>
          <c:h val="0.041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85725</xdr:rowOff>
    </xdr:from>
    <xdr:to>
      <xdr:col>2</xdr:col>
      <xdr:colOff>257175</xdr:colOff>
      <xdr:row>5</xdr:row>
      <xdr:rowOff>104775</xdr:rowOff>
    </xdr:to>
    <xdr:pic>
      <xdr:nvPicPr>
        <xdr:cNvPr id="1" name="Picture 1" descr="Cirrus 3D_black_1in copy.jpg"/>
        <xdr:cNvPicPr preferRelativeResize="1">
          <a:picLocks noChangeAspect="1"/>
        </xdr:cNvPicPr>
      </xdr:nvPicPr>
      <xdr:blipFill>
        <a:blip r:embed="rId1"/>
        <a:stretch>
          <a:fillRect/>
        </a:stretch>
      </xdr:blipFill>
      <xdr:spPr>
        <a:xfrm>
          <a:off x="685800" y="247650"/>
          <a:ext cx="561975" cy="971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38100</xdr:rowOff>
    </xdr:from>
    <xdr:to>
      <xdr:col>6</xdr:col>
      <xdr:colOff>19050</xdr:colOff>
      <xdr:row>46</xdr:row>
      <xdr:rowOff>9525</xdr:rowOff>
    </xdr:to>
    <xdr:graphicFrame>
      <xdr:nvGraphicFramePr>
        <xdr:cNvPr id="1" name="Chart 2"/>
        <xdr:cNvGraphicFramePr/>
      </xdr:nvGraphicFramePr>
      <xdr:xfrm>
        <a:off x="28575" y="4048125"/>
        <a:ext cx="4867275" cy="39243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561975</xdr:colOff>
      <xdr:row>4</xdr:row>
      <xdr:rowOff>104775</xdr:rowOff>
    </xdr:to>
    <xdr:pic>
      <xdr:nvPicPr>
        <xdr:cNvPr id="2" name="Picture 3" descr="Cirrus 3D_black_1in copy.jpg"/>
        <xdr:cNvPicPr preferRelativeResize="1">
          <a:picLocks noChangeAspect="1"/>
        </xdr:cNvPicPr>
      </xdr:nvPicPr>
      <xdr:blipFill>
        <a:blip r:embed="rId2"/>
        <a:stretch>
          <a:fillRect/>
        </a:stretch>
      </xdr:blipFill>
      <xdr:spPr>
        <a:xfrm>
          <a:off x="0" y="0"/>
          <a:ext cx="561975" cy="942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9525</xdr:rowOff>
    </xdr:from>
    <xdr:to>
      <xdr:col>5</xdr:col>
      <xdr:colOff>847725</xdr:colOff>
      <xdr:row>44</xdr:row>
      <xdr:rowOff>152400</xdr:rowOff>
    </xdr:to>
    <xdr:graphicFrame>
      <xdr:nvGraphicFramePr>
        <xdr:cNvPr id="1" name="Chart 2"/>
        <xdr:cNvGraphicFramePr/>
      </xdr:nvGraphicFramePr>
      <xdr:xfrm>
        <a:off x="0" y="3848100"/>
        <a:ext cx="4867275" cy="39147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561975</xdr:colOff>
      <xdr:row>4</xdr:row>
      <xdr:rowOff>104775</xdr:rowOff>
    </xdr:to>
    <xdr:pic>
      <xdr:nvPicPr>
        <xdr:cNvPr id="2" name="Picture 3" descr="Cirrus 3D_black_1in copy.jpg"/>
        <xdr:cNvPicPr preferRelativeResize="1">
          <a:picLocks noChangeAspect="1"/>
        </xdr:cNvPicPr>
      </xdr:nvPicPr>
      <xdr:blipFill>
        <a:blip r:embed="rId2"/>
        <a:stretch>
          <a:fillRect/>
        </a:stretch>
      </xdr:blipFill>
      <xdr:spPr>
        <a:xfrm>
          <a:off x="0" y="0"/>
          <a:ext cx="56197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38100</xdr:rowOff>
    </xdr:from>
    <xdr:to>
      <xdr:col>6</xdr:col>
      <xdr:colOff>19050</xdr:colOff>
      <xdr:row>46</xdr:row>
      <xdr:rowOff>9525</xdr:rowOff>
    </xdr:to>
    <xdr:graphicFrame>
      <xdr:nvGraphicFramePr>
        <xdr:cNvPr id="1" name="Chart 2"/>
        <xdr:cNvGraphicFramePr/>
      </xdr:nvGraphicFramePr>
      <xdr:xfrm>
        <a:off x="28575" y="3876675"/>
        <a:ext cx="4867275" cy="39243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561975</xdr:colOff>
      <xdr:row>4</xdr:row>
      <xdr:rowOff>104775</xdr:rowOff>
    </xdr:to>
    <xdr:pic>
      <xdr:nvPicPr>
        <xdr:cNvPr id="2" name="Picture 3" descr="Cirrus 3D_black_1in copy.jpg"/>
        <xdr:cNvPicPr preferRelativeResize="1">
          <a:picLocks noChangeAspect="1"/>
        </xdr:cNvPicPr>
      </xdr:nvPicPr>
      <xdr:blipFill>
        <a:blip r:embed="rId2"/>
        <a:stretch>
          <a:fillRect/>
        </a:stretch>
      </xdr:blipFill>
      <xdr:spPr>
        <a:xfrm>
          <a:off x="0" y="0"/>
          <a:ext cx="561975"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9525</xdr:rowOff>
    </xdr:from>
    <xdr:to>
      <xdr:col>5</xdr:col>
      <xdr:colOff>847725</xdr:colOff>
      <xdr:row>47</xdr:row>
      <xdr:rowOff>152400</xdr:rowOff>
    </xdr:to>
    <xdr:graphicFrame>
      <xdr:nvGraphicFramePr>
        <xdr:cNvPr id="1" name="Chart 14"/>
        <xdr:cNvGraphicFramePr/>
      </xdr:nvGraphicFramePr>
      <xdr:xfrm>
        <a:off x="0" y="4000500"/>
        <a:ext cx="4867275" cy="39338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561975</xdr:colOff>
      <xdr:row>4</xdr:row>
      <xdr:rowOff>104775</xdr:rowOff>
    </xdr:to>
    <xdr:pic>
      <xdr:nvPicPr>
        <xdr:cNvPr id="2" name="Picture 3" descr="Cirrus 3D_black_1in copy.jpg"/>
        <xdr:cNvPicPr preferRelativeResize="1">
          <a:picLocks noChangeAspect="1"/>
        </xdr:cNvPicPr>
      </xdr:nvPicPr>
      <xdr:blipFill>
        <a:blip r:embed="rId2"/>
        <a:stretch>
          <a:fillRect/>
        </a:stretch>
      </xdr:blipFill>
      <xdr:spPr>
        <a:xfrm>
          <a:off x="0" y="0"/>
          <a:ext cx="561975" cy="942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9525</xdr:rowOff>
    </xdr:from>
    <xdr:to>
      <xdr:col>5</xdr:col>
      <xdr:colOff>847725</xdr:colOff>
      <xdr:row>46</xdr:row>
      <xdr:rowOff>152400</xdr:rowOff>
    </xdr:to>
    <xdr:graphicFrame>
      <xdr:nvGraphicFramePr>
        <xdr:cNvPr id="1" name="Chart 2"/>
        <xdr:cNvGraphicFramePr/>
      </xdr:nvGraphicFramePr>
      <xdr:xfrm>
        <a:off x="0" y="4000500"/>
        <a:ext cx="4867275" cy="39338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561975</xdr:colOff>
      <xdr:row>4</xdr:row>
      <xdr:rowOff>104775</xdr:rowOff>
    </xdr:to>
    <xdr:pic>
      <xdr:nvPicPr>
        <xdr:cNvPr id="2" name="Picture 3" descr="Cirrus 3D_black_1in copy.jpg"/>
        <xdr:cNvPicPr preferRelativeResize="1">
          <a:picLocks noChangeAspect="1"/>
        </xdr:cNvPicPr>
      </xdr:nvPicPr>
      <xdr:blipFill>
        <a:blip r:embed="rId2"/>
        <a:stretch>
          <a:fillRect/>
        </a:stretch>
      </xdr:blipFill>
      <xdr:spPr>
        <a:xfrm>
          <a:off x="0" y="0"/>
          <a:ext cx="561975" cy="942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23</xdr:row>
      <xdr:rowOff>9525</xdr:rowOff>
    </xdr:from>
    <xdr:to>
      <xdr:col>6</xdr:col>
      <xdr:colOff>66675</xdr:colOff>
      <xdr:row>47</xdr:row>
      <xdr:rowOff>9525</xdr:rowOff>
    </xdr:to>
    <xdr:graphicFrame>
      <xdr:nvGraphicFramePr>
        <xdr:cNvPr id="1" name="Chart 14"/>
        <xdr:cNvGraphicFramePr/>
      </xdr:nvGraphicFramePr>
      <xdr:xfrm>
        <a:off x="47625" y="4343400"/>
        <a:ext cx="4895850" cy="3790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561975</xdr:colOff>
      <xdr:row>4</xdr:row>
      <xdr:rowOff>85725</xdr:rowOff>
    </xdr:to>
    <xdr:pic>
      <xdr:nvPicPr>
        <xdr:cNvPr id="2" name="Picture 1" descr="Cirrus 3D_black_1in copy.jpg"/>
        <xdr:cNvPicPr preferRelativeResize="1">
          <a:picLocks noChangeAspect="1"/>
        </xdr:cNvPicPr>
      </xdr:nvPicPr>
      <xdr:blipFill>
        <a:blip r:embed="rId2"/>
        <a:stretch>
          <a:fillRect/>
        </a:stretch>
      </xdr:blipFill>
      <xdr:spPr>
        <a:xfrm>
          <a:off x="0" y="0"/>
          <a:ext cx="56197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9525</xdr:rowOff>
    </xdr:from>
    <xdr:to>
      <xdr:col>6</xdr:col>
      <xdr:colOff>38100</xdr:colOff>
      <xdr:row>47</xdr:row>
      <xdr:rowOff>9525</xdr:rowOff>
    </xdr:to>
    <xdr:graphicFrame>
      <xdr:nvGraphicFramePr>
        <xdr:cNvPr id="1" name="Chart 14"/>
        <xdr:cNvGraphicFramePr/>
      </xdr:nvGraphicFramePr>
      <xdr:xfrm>
        <a:off x="19050" y="4324350"/>
        <a:ext cx="4895850" cy="3790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561975</xdr:colOff>
      <xdr:row>4</xdr:row>
      <xdr:rowOff>104775</xdr:rowOff>
    </xdr:to>
    <xdr:pic>
      <xdr:nvPicPr>
        <xdr:cNvPr id="2" name="Picture 3" descr="Cirrus 3D_black_1in copy.jpg"/>
        <xdr:cNvPicPr preferRelativeResize="1">
          <a:picLocks noChangeAspect="1"/>
        </xdr:cNvPicPr>
      </xdr:nvPicPr>
      <xdr:blipFill>
        <a:blip r:embed="rId2"/>
        <a:stretch>
          <a:fillRect/>
        </a:stretch>
      </xdr:blipFill>
      <xdr:spPr>
        <a:xfrm>
          <a:off x="0" y="0"/>
          <a:ext cx="561975" cy="942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9525</xdr:rowOff>
    </xdr:from>
    <xdr:to>
      <xdr:col>5</xdr:col>
      <xdr:colOff>847725</xdr:colOff>
      <xdr:row>47</xdr:row>
      <xdr:rowOff>152400</xdr:rowOff>
    </xdr:to>
    <xdr:graphicFrame>
      <xdr:nvGraphicFramePr>
        <xdr:cNvPr id="1" name="Chart 14"/>
        <xdr:cNvGraphicFramePr/>
      </xdr:nvGraphicFramePr>
      <xdr:xfrm>
        <a:off x="0" y="4324350"/>
        <a:ext cx="4867275" cy="39338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561975</xdr:colOff>
      <xdr:row>4</xdr:row>
      <xdr:rowOff>104775</xdr:rowOff>
    </xdr:to>
    <xdr:pic>
      <xdr:nvPicPr>
        <xdr:cNvPr id="2" name="Picture 3" descr="Cirrus 3D_black_1in copy.jpg"/>
        <xdr:cNvPicPr preferRelativeResize="1">
          <a:picLocks noChangeAspect="1"/>
        </xdr:cNvPicPr>
      </xdr:nvPicPr>
      <xdr:blipFill>
        <a:blip r:embed="rId2"/>
        <a:stretch>
          <a:fillRect/>
        </a:stretch>
      </xdr:blipFill>
      <xdr:spPr>
        <a:xfrm>
          <a:off x="0" y="0"/>
          <a:ext cx="561975" cy="942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9525</xdr:rowOff>
    </xdr:from>
    <xdr:to>
      <xdr:col>5</xdr:col>
      <xdr:colOff>847725</xdr:colOff>
      <xdr:row>47</xdr:row>
      <xdr:rowOff>152400</xdr:rowOff>
    </xdr:to>
    <xdr:graphicFrame>
      <xdr:nvGraphicFramePr>
        <xdr:cNvPr id="1" name="Chart 14"/>
        <xdr:cNvGraphicFramePr/>
      </xdr:nvGraphicFramePr>
      <xdr:xfrm>
        <a:off x="0" y="4324350"/>
        <a:ext cx="4867275" cy="39338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561975</xdr:colOff>
      <xdr:row>4</xdr:row>
      <xdr:rowOff>104775</xdr:rowOff>
    </xdr:to>
    <xdr:pic>
      <xdr:nvPicPr>
        <xdr:cNvPr id="2" name="Picture 3" descr="Cirrus 3D_black_1in copy.jpg"/>
        <xdr:cNvPicPr preferRelativeResize="1">
          <a:picLocks noChangeAspect="1"/>
        </xdr:cNvPicPr>
      </xdr:nvPicPr>
      <xdr:blipFill>
        <a:blip r:embed="rId2"/>
        <a:stretch>
          <a:fillRect/>
        </a:stretch>
      </xdr:blipFill>
      <xdr:spPr>
        <a:xfrm>
          <a:off x="0" y="0"/>
          <a:ext cx="561975" cy="942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9525</xdr:rowOff>
    </xdr:from>
    <xdr:to>
      <xdr:col>5</xdr:col>
      <xdr:colOff>847725</xdr:colOff>
      <xdr:row>46</xdr:row>
      <xdr:rowOff>152400</xdr:rowOff>
    </xdr:to>
    <xdr:graphicFrame>
      <xdr:nvGraphicFramePr>
        <xdr:cNvPr id="1" name="Chart 2"/>
        <xdr:cNvGraphicFramePr/>
      </xdr:nvGraphicFramePr>
      <xdr:xfrm>
        <a:off x="0" y="4171950"/>
        <a:ext cx="4867275" cy="39338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561975</xdr:colOff>
      <xdr:row>4</xdr:row>
      <xdr:rowOff>104775</xdr:rowOff>
    </xdr:to>
    <xdr:pic>
      <xdr:nvPicPr>
        <xdr:cNvPr id="2" name="Picture 3" descr="Cirrus 3D_black_1in copy.jpg"/>
        <xdr:cNvPicPr preferRelativeResize="1">
          <a:picLocks noChangeAspect="1"/>
        </xdr:cNvPicPr>
      </xdr:nvPicPr>
      <xdr:blipFill>
        <a:blip r:embed="rId2"/>
        <a:stretch>
          <a:fillRect/>
        </a:stretch>
      </xdr:blipFill>
      <xdr:spPr>
        <a:xfrm>
          <a:off x="0" y="0"/>
          <a:ext cx="56197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B2:N21"/>
  <sheetViews>
    <sheetView workbookViewId="0" topLeftCell="A1">
      <selection activeCell="F25" sqref="F25"/>
    </sheetView>
  </sheetViews>
  <sheetFormatPr defaultColWidth="9.140625" defaultRowHeight="12.75"/>
  <cols>
    <col min="1" max="1" width="9.140625" style="44" customWidth="1"/>
    <col min="2" max="2" width="5.7109375" style="44" customWidth="1"/>
    <col min="3" max="16384" width="9.140625" style="44" customWidth="1"/>
  </cols>
  <sheetData>
    <row r="2" ht="33.75">
      <c r="D2" s="45" t="s">
        <v>41</v>
      </c>
    </row>
    <row r="3" ht="12.75"/>
    <row r="4" spans="4:14" ht="15.75" customHeight="1">
      <c r="D4" s="65" t="s">
        <v>46</v>
      </c>
      <c r="E4" s="65"/>
      <c r="F4" s="65"/>
      <c r="G4" s="65"/>
      <c r="H4" s="65"/>
      <c r="I4" s="65"/>
      <c r="J4" s="65"/>
      <c r="K4" s="65"/>
      <c r="L4" s="65"/>
      <c r="M4" s="65"/>
      <c r="N4" s="65"/>
    </row>
    <row r="5" spans="4:14" ht="12.75">
      <c r="D5" s="65"/>
      <c r="E5" s="65"/>
      <c r="F5" s="65"/>
      <c r="G5" s="65"/>
      <c r="H5" s="65"/>
      <c r="I5" s="65"/>
      <c r="J5" s="65"/>
      <c r="K5" s="65"/>
      <c r="L5" s="65"/>
      <c r="M5" s="65"/>
      <c r="N5" s="65"/>
    </row>
    <row r="6" spans="4:14" ht="15.75">
      <c r="D6" s="46"/>
      <c r="E6" s="46"/>
      <c r="F6" s="46"/>
      <c r="G6" s="46"/>
      <c r="H6" s="46"/>
      <c r="I6" s="46"/>
      <c r="J6" s="46"/>
      <c r="K6" s="46"/>
      <c r="L6" s="46"/>
      <c r="M6" s="46"/>
      <c r="N6" s="46"/>
    </row>
    <row r="7" spans="4:14" ht="15.75" customHeight="1">
      <c r="D7" s="65" t="s">
        <v>42</v>
      </c>
      <c r="E7" s="65"/>
      <c r="F7" s="65"/>
      <c r="G7" s="65"/>
      <c r="H7" s="65"/>
      <c r="I7" s="65"/>
      <c r="J7" s="65"/>
      <c r="K7" s="65"/>
      <c r="L7" s="65"/>
      <c r="M7" s="65"/>
      <c r="N7" s="65"/>
    </row>
    <row r="8" spans="4:14" ht="12">
      <c r="D8" s="65"/>
      <c r="E8" s="65"/>
      <c r="F8" s="65"/>
      <c r="G8" s="65"/>
      <c r="H8" s="65"/>
      <c r="I8" s="65"/>
      <c r="J8" s="65"/>
      <c r="K8" s="65"/>
      <c r="L8" s="65"/>
      <c r="M8" s="65"/>
      <c r="N8" s="65"/>
    </row>
    <row r="9" spans="4:14" ht="15">
      <c r="D9" s="46"/>
      <c r="E9" s="46"/>
      <c r="F9" s="46"/>
      <c r="G9" s="46"/>
      <c r="H9" s="46"/>
      <c r="I9" s="46"/>
      <c r="J9" s="46"/>
      <c r="K9" s="46"/>
      <c r="L9" s="46"/>
      <c r="M9" s="46"/>
      <c r="N9" s="46"/>
    </row>
    <row r="10" ht="18">
      <c r="B10" s="47" t="s">
        <v>43</v>
      </c>
    </row>
    <row r="11" spans="2:14" ht="30" customHeight="1">
      <c r="B11" s="48">
        <v>1</v>
      </c>
      <c r="C11" s="64" t="s">
        <v>44</v>
      </c>
      <c r="D11" s="64"/>
      <c r="E11" s="64"/>
      <c r="F11" s="64"/>
      <c r="G11" s="64"/>
      <c r="H11" s="64"/>
      <c r="I11" s="64"/>
      <c r="J11" s="64"/>
      <c r="K11" s="64"/>
      <c r="L11" s="64"/>
      <c r="M11" s="64"/>
      <c r="N11" s="64"/>
    </row>
    <row r="12" spans="2:14" ht="30" customHeight="1">
      <c r="B12" s="48">
        <v>2</v>
      </c>
      <c r="C12" s="64" t="s">
        <v>53</v>
      </c>
      <c r="D12" s="64"/>
      <c r="E12" s="64"/>
      <c r="F12" s="64"/>
      <c r="G12" s="64"/>
      <c r="H12" s="64"/>
      <c r="I12" s="64"/>
      <c r="J12" s="64"/>
      <c r="K12" s="64"/>
      <c r="L12" s="64"/>
      <c r="M12" s="64"/>
      <c r="N12" s="64"/>
    </row>
    <row r="13" spans="2:14" ht="30" customHeight="1">
      <c r="B13" s="48">
        <v>3</v>
      </c>
      <c r="C13" s="64" t="s">
        <v>45</v>
      </c>
      <c r="D13" s="64"/>
      <c r="E13" s="64"/>
      <c r="F13" s="64"/>
      <c r="G13" s="64"/>
      <c r="H13" s="64"/>
      <c r="I13" s="64"/>
      <c r="J13" s="64"/>
      <c r="K13" s="64"/>
      <c r="L13" s="64"/>
      <c r="M13" s="64"/>
      <c r="N13" s="64"/>
    </row>
    <row r="14" spans="3:14" ht="12">
      <c r="C14" s="49"/>
      <c r="D14" s="49"/>
      <c r="E14" s="49"/>
      <c r="F14" s="49"/>
      <c r="G14" s="49"/>
      <c r="H14" s="49"/>
      <c r="I14" s="49"/>
      <c r="J14" s="49"/>
      <c r="K14" s="49"/>
      <c r="L14" s="49"/>
      <c r="M14" s="49"/>
      <c r="N14" s="49"/>
    </row>
    <row r="15" spans="2:14" ht="18">
      <c r="B15" s="47" t="s">
        <v>47</v>
      </c>
      <c r="C15" s="49"/>
      <c r="D15" s="49"/>
      <c r="E15" s="49"/>
      <c r="F15" s="49"/>
      <c r="G15" s="49"/>
      <c r="H15" s="49"/>
      <c r="I15" s="49"/>
      <c r="J15" s="49"/>
      <c r="K15" s="49"/>
      <c r="L15" s="49"/>
      <c r="M15" s="49"/>
      <c r="N15" s="49"/>
    </row>
    <row r="16" spans="2:14" ht="52.5" customHeight="1">
      <c r="B16" s="48" t="s">
        <v>48</v>
      </c>
      <c r="C16" s="64" t="s">
        <v>54</v>
      </c>
      <c r="D16" s="64"/>
      <c r="E16" s="64"/>
      <c r="F16" s="64"/>
      <c r="G16" s="64"/>
      <c r="H16" s="64"/>
      <c r="I16" s="64"/>
      <c r="J16" s="64"/>
      <c r="K16" s="64"/>
      <c r="L16" s="64"/>
      <c r="M16" s="64"/>
      <c r="N16" s="64"/>
    </row>
    <row r="17" spans="2:14" ht="35.25" customHeight="1">
      <c r="B17" s="48" t="s">
        <v>48</v>
      </c>
      <c r="C17" s="64" t="s">
        <v>49</v>
      </c>
      <c r="D17" s="64"/>
      <c r="E17" s="64"/>
      <c r="F17" s="64"/>
      <c r="G17" s="64"/>
      <c r="H17" s="64"/>
      <c r="I17" s="64"/>
      <c r="J17" s="64"/>
      <c r="K17" s="64"/>
      <c r="L17" s="64"/>
      <c r="M17" s="64"/>
      <c r="N17" s="64"/>
    </row>
    <row r="18" spans="2:14" ht="22.5" customHeight="1">
      <c r="B18" s="48" t="s">
        <v>48</v>
      </c>
      <c r="C18" s="64" t="s">
        <v>52</v>
      </c>
      <c r="D18" s="64"/>
      <c r="E18" s="64"/>
      <c r="F18" s="64"/>
      <c r="G18" s="64"/>
      <c r="H18" s="64"/>
      <c r="I18" s="64"/>
      <c r="J18" s="64"/>
      <c r="K18" s="64"/>
      <c r="L18" s="64"/>
      <c r="M18" s="64"/>
      <c r="N18" s="64"/>
    </row>
    <row r="21" ht="12">
      <c r="B21" s="50" t="s">
        <v>64</v>
      </c>
    </row>
  </sheetData>
  <sheetProtection sheet="1" objects="1" scenarios="1" selectLockedCells="1" selectUnlockedCells="1"/>
  <mergeCells count="8">
    <mergeCell ref="C18:N18"/>
    <mergeCell ref="C11:N11"/>
    <mergeCell ref="C12:N12"/>
    <mergeCell ref="C13:N13"/>
    <mergeCell ref="D4:N5"/>
    <mergeCell ref="D7:N8"/>
    <mergeCell ref="C16:N16"/>
    <mergeCell ref="C17:N17"/>
  </mergeCells>
  <printOptions/>
  <pageMargins left="0.75" right="0.75" top="1" bottom="1" header="0.5" footer="0.5"/>
  <pageSetup fitToHeight="1" fitToWidth="1" horizontalDpi="1200" verticalDpi="1200" orientation="portrait" scale="72"/>
  <drawing r:id="rId1"/>
</worksheet>
</file>

<file path=xl/worksheets/sheet10.xml><?xml version="1.0" encoding="utf-8"?>
<worksheet xmlns="http://schemas.openxmlformats.org/spreadsheetml/2006/main" xmlns:r="http://schemas.openxmlformats.org/officeDocument/2006/relationships">
  <sheetPr>
    <pageSetUpPr fitToPage="1"/>
  </sheetPr>
  <dimension ref="A1:J50"/>
  <sheetViews>
    <sheetView workbookViewId="0" topLeftCell="A1">
      <selection activeCell="D10" sqref="D10"/>
    </sheetView>
  </sheetViews>
  <sheetFormatPr defaultColWidth="9.140625" defaultRowHeight="12.75"/>
  <cols>
    <col min="1" max="1" width="20.00390625" style="1" customWidth="1"/>
    <col min="2" max="2" width="6.00390625" style="1" customWidth="1"/>
    <col min="3" max="3" width="8.8515625" style="1" customWidth="1"/>
    <col min="4" max="5" width="12.7109375" style="1" customWidth="1"/>
    <col min="6" max="6" width="12.8515625" style="1" customWidth="1"/>
    <col min="7" max="7" width="10.7109375" style="1" customWidth="1"/>
    <col min="8" max="8" width="10.28125" style="1" customWidth="1"/>
    <col min="9" max="9" width="9.140625" style="1" customWidth="1"/>
    <col min="10" max="10" width="13.28125" style="1" customWidth="1"/>
    <col min="11" max="11" width="9.140625" style="1" customWidth="1"/>
    <col min="12" max="16384" width="9.140625" style="1" customWidth="1"/>
  </cols>
  <sheetData>
    <row r="1" spans="1:7" ht="16.5" customHeight="1">
      <c r="A1" s="66" t="s">
        <v>16</v>
      </c>
      <c r="B1" s="66"/>
      <c r="C1" s="66"/>
      <c r="D1" s="66"/>
      <c r="E1" s="66"/>
      <c r="F1" s="66"/>
      <c r="G1" s="13"/>
    </row>
    <row r="2" spans="1:7" ht="16.5" customHeight="1">
      <c r="A2" s="6"/>
      <c r="B2" s="6"/>
      <c r="C2" s="7"/>
      <c r="D2" s="6"/>
      <c r="F2" s="11"/>
      <c r="G2" s="11"/>
    </row>
    <row r="3" spans="1:7" ht="16.5" customHeight="1">
      <c r="A3" s="6"/>
      <c r="B3" s="6"/>
      <c r="C3" s="16" t="s">
        <v>8</v>
      </c>
      <c r="D3" s="21"/>
      <c r="F3" s="70" t="s">
        <v>27</v>
      </c>
      <c r="G3" s="11"/>
    </row>
    <row r="4" spans="1:7" ht="16.5" customHeight="1">
      <c r="A4" s="6"/>
      <c r="B4" s="6"/>
      <c r="C4" s="16" t="s">
        <v>26</v>
      </c>
      <c r="D4" s="15" t="s">
        <v>33</v>
      </c>
      <c r="F4" s="70"/>
      <c r="G4" s="11"/>
    </row>
    <row r="5" spans="5:10" ht="12.75" customHeight="1">
      <c r="E5" s="11"/>
      <c r="F5" s="11"/>
      <c r="G5" s="11"/>
      <c r="J5" s="2"/>
    </row>
    <row r="6" spans="1:10" ht="12.75" customHeight="1">
      <c r="A6" s="67" t="s">
        <v>0</v>
      </c>
      <c r="B6" s="67"/>
      <c r="C6" s="67" t="s">
        <v>20</v>
      </c>
      <c r="D6" s="69" t="s">
        <v>13</v>
      </c>
      <c r="E6" s="69" t="s">
        <v>14</v>
      </c>
      <c r="F6" s="69" t="s">
        <v>15</v>
      </c>
      <c r="G6" s="8"/>
      <c r="J6" s="9"/>
    </row>
    <row r="7" spans="1:10" ht="12.75" thickBot="1">
      <c r="A7" s="68"/>
      <c r="B7" s="68"/>
      <c r="C7" s="68"/>
      <c r="D7" s="68"/>
      <c r="E7" s="68"/>
      <c r="F7" s="68"/>
      <c r="J7" s="9"/>
    </row>
    <row r="8" spans="1:10" ht="12">
      <c r="A8" s="77" t="s">
        <v>28</v>
      </c>
      <c r="B8" s="78"/>
      <c r="C8" s="79"/>
      <c r="D8" s="58">
        <v>2172.5</v>
      </c>
      <c r="E8" s="29">
        <f>F8/D8*1000</f>
        <v>140.39079401611048</v>
      </c>
      <c r="F8" s="59">
        <v>304.999</v>
      </c>
      <c r="J8" s="9"/>
    </row>
    <row r="9" spans="1:10" ht="12">
      <c r="A9" s="71" t="s">
        <v>3</v>
      </c>
      <c r="B9" s="72"/>
      <c r="C9" s="73"/>
      <c r="D9" s="36">
        <v>150</v>
      </c>
      <c r="E9" s="30">
        <v>143.5</v>
      </c>
      <c r="F9" s="23">
        <f>(D9*E9)/1000</f>
        <v>21.525</v>
      </c>
      <c r="J9" s="10"/>
    </row>
    <row r="10" spans="1:10" ht="12">
      <c r="A10" s="71" t="s">
        <v>9</v>
      </c>
      <c r="B10" s="72"/>
      <c r="C10" s="73"/>
      <c r="D10" s="36"/>
      <c r="E10" s="30">
        <v>143.5</v>
      </c>
      <c r="F10" s="23">
        <f>(D10*E10)/1000</f>
        <v>0</v>
      </c>
      <c r="J10" s="10"/>
    </row>
    <row r="11" spans="1:10" ht="12">
      <c r="A11" s="71" t="s">
        <v>18</v>
      </c>
      <c r="B11" s="72"/>
      <c r="C11" s="73"/>
      <c r="D11" s="36"/>
      <c r="E11" s="30">
        <v>180</v>
      </c>
      <c r="F11" s="23">
        <f>(D11*E11)/1000</f>
        <v>0</v>
      </c>
      <c r="J11" s="9"/>
    </row>
    <row r="12" spans="1:10" ht="12">
      <c r="A12" s="51" t="s">
        <v>19</v>
      </c>
      <c r="B12" s="52"/>
      <c r="C12" s="53"/>
      <c r="D12" s="36"/>
      <c r="E12" s="30">
        <v>180</v>
      </c>
      <c r="F12" s="23">
        <f>(D12*E12)/1000</f>
        <v>0</v>
      </c>
      <c r="J12" s="9"/>
    </row>
    <row r="13" spans="1:6" ht="13.5" customHeight="1">
      <c r="A13" s="71" t="s">
        <v>57</v>
      </c>
      <c r="B13" s="72"/>
      <c r="C13" s="73"/>
      <c r="D13" s="36"/>
      <c r="E13" s="30">
        <v>180</v>
      </c>
      <c r="F13" s="23">
        <f>(D13*E13)/1000</f>
        <v>0</v>
      </c>
    </row>
    <row r="14" spans="1:6" ht="12.75" thickBot="1">
      <c r="A14" s="71" t="s">
        <v>25</v>
      </c>
      <c r="B14" s="72"/>
      <c r="C14" s="73"/>
      <c r="D14" s="36"/>
      <c r="E14" s="30">
        <v>208</v>
      </c>
      <c r="F14" s="23">
        <f>(D14*E14)/1000</f>
        <v>0</v>
      </c>
    </row>
    <row r="15" spans="1:10" ht="24" customHeight="1" thickBot="1">
      <c r="A15" s="74" t="s">
        <v>17</v>
      </c>
      <c r="B15" s="74"/>
      <c r="C15" s="74"/>
      <c r="D15" s="39">
        <f>SUM(D8:D14)</f>
        <v>2322.5</v>
      </c>
      <c r="E15" s="32">
        <f>F15*1000/D15</f>
        <v>140.59160387513455</v>
      </c>
      <c r="F15" s="25">
        <f>SUM(F8:F14)</f>
        <v>326.524</v>
      </c>
      <c r="J15" s="10"/>
    </row>
    <row r="16" spans="1:6" ht="12.75" thickBot="1">
      <c r="A16" s="75" t="s">
        <v>29</v>
      </c>
      <c r="B16" s="76"/>
      <c r="C16" s="17">
        <v>56</v>
      </c>
      <c r="D16" s="40">
        <f>C16*6</f>
        <v>336</v>
      </c>
      <c r="E16" s="33">
        <v>153.8</v>
      </c>
      <c r="F16" s="26">
        <f>(D16*E16)/1000</f>
        <v>51.6768</v>
      </c>
    </row>
    <row r="17" spans="1:6" ht="13.5" customHeight="1">
      <c r="A17" s="80" t="s">
        <v>10</v>
      </c>
      <c r="B17" s="80"/>
      <c r="C17" s="80"/>
      <c r="D17" s="41">
        <f>SUM(D15,D16)</f>
        <v>2658.5</v>
      </c>
      <c r="E17" s="34">
        <f>F17*1000/D17</f>
        <v>142.26097423359036</v>
      </c>
      <c r="F17" s="27">
        <f>SUM(F15,F16)</f>
        <v>378.2008</v>
      </c>
    </row>
    <row r="18" spans="1:6" ht="13.5" customHeight="1">
      <c r="A18" s="81" t="s">
        <v>50</v>
      </c>
      <c r="B18" s="81"/>
      <c r="C18" s="81"/>
      <c r="D18" s="41">
        <v>-6</v>
      </c>
      <c r="E18" s="34">
        <v>153.8</v>
      </c>
      <c r="F18" s="27">
        <f>D18*E18/1000</f>
        <v>-0.9228000000000001</v>
      </c>
    </row>
    <row r="19" spans="1:6" ht="24" customHeight="1">
      <c r="A19" s="82" t="s">
        <v>11</v>
      </c>
      <c r="B19" s="82"/>
      <c r="C19" s="82"/>
      <c r="D19" s="42">
        <f>D17+D18</f>
        <v>2652.5</v>
      </c>
      <c r="E19" s="20">
        <f>F19/D19*1000</f>
        <v>142.23487276154572</v>
      </c>
      <c r="F19" s="28">
        <f>F17+F18</f>
        <v>377.278</v>
      </c>
    </row>
    <row r="20" spans="1:6" ht="13.5" customHeight="1">
      <c r="A20" s="81" t="s">
        <v>6</v>
      </c>
      <c r="B20" s="84"/>
      <c r="C20" s="19">
        <v>56</v>
      </c>
      <c r="D20" s="41">
        <f>-C20*6</f>
        <v>-336</v>
      </c>
      <c r="E20" s="34">
        <v>153.8</v>
      </c>
      <c r="F20" s="27">
        <f>D20*E20/1000</f>
        <v>-51.6768</v>
      </c>
    </row>
    <row r="21" spans="1:6" s="2" customFormat="1" ht="24" customHeight="1">
      <c r="A21" s="82" t="s">
        <v>12</v>
      </c>
      <c r="B21" s="82"/>
      <c r="C21" s="82"/>
      <c r="D21" s="42">
        <f>D19+D20</f>
        <v>2316.5</v>
      </c>
      <c r="E21" s="20">
        <f>F21/D21*1000</f>
        <v>140.55739261817396</v>
      </c>
      <c r="F21" s="28">
        <f>F19+F20</f>
        <v>325.6012</v>
      </c>
    </row>
    <row r="24" ht="12">
      <c r="F24" s="2"/>
    </row>
    <row r="25" spans="2:6" ht="12">
      <c r="B25" s="2" t="s">
        <v>23</v>
      </c>
      <c r="D25" s="2"/>
      <c r="F25" s="2"/>
    </row>
    <row r="26" spans="2:6" ht="12">
      <c r="B26" s="5" t="s">
        <v>1</v>
      </c>
      <c r="C26" s="5" t="s">
        <v>2</v>
      </c>
      <c r="F26" s="4"/>
    </row>
    <row r="27" spans="2:6" ht="12">
      <c r="B27" s="5">
        <v>2100</v>
      </c>
      <c r="C27" s="5">
        <v>137.8</v>
      </c>
      <c r="E27" s="4"/>
      <c r="F27" s="3"/>
    </row>
    <row r="28" spans="2:6" ht="12">
      <c r="B28" s="5">
        <v>2700</v>
      </c>
      <c r="C28" s="5">
        <v>139.1</v>
      </c>
      <c r="F28" s="4"/>
    </row>
    <row r="29" spans="2:6" ht="12">
      <c r="B29" s="5">
        <v>3050</v>
      </c>
      <c r="C29" s="5">
        <v>141.4</v>
      </c>
      <c r="F29" s="4"/>
    </row>
    <row r="30" spans="2:6" ht="12">
      <c r="B30" s="5">
        <v>3050</v>
      </c>
      <c r="C30" s="5">
        <v>148.1</v>
      </c>
      <c r="F30" s="4"/>
    </row>
    <row r="31" spans="2:3" ht="12">
      <c r="B31" s="5">
        <v>2100</v>
      </c>
      <c r="C31" s="5">
        <v>148.1</v>
      </c>
    </row>
    <row r="32" spans="2:3" ht="12">
      <c r="B32" s="5">
        <v>2100</v>
      </c>
      <c r="C32" s="5">
        <v>137.8</v>
      </c>
    </row>
    <row r="35" spans="4:5" ht="12">
      <c r="D35" s="5"/>
      <c r="E35" s="5"/>
    </row>
    <row r="47" spans="1:7" ht="12.75" customHeight="1">
      <c r="A47" s="83" t="s">
        <v>22</v>
      </c>
      <c r="B47" s="83"/>
      <c r="C47" s="83"/>
      <c r="D47" s="83"/>
      <c r="E47" s="83"/>
      <c r="F47" s="83"/>
      <c r="G47" s="14"/>
    </row>
    <row r="48" spans="1:6" ht="12">
      <c r="A48" s="83"/>
      <c r="B48" s="83"/>
      <c r="C48" s="83"/>
      <c r="D48" s="83"/>
      <c r="E48" s="83"/>
      <c r="F48" s="83"/>
    </row>
    <row r="49" spans="1:6" ht="12">
      <c r="A49" s="83"/>
      <c r="B49" s="83"/>
      <c r="C49" s="83"/>
      <c r="D49" s="83"/>
      <c r="E49" s="83"/>
      <c r="F49" s="83"/>
    </row>
    <row r="50" ht="12">
      <c r="F50" s="54" t="s">
        <v>24</v>
      </c>
    </row>
  </sheetData>
  <sheetProtection selectLockedCells="1"/>
  <mergeCells count="21">
    <mergeCell ref="A21:C21"/>
    <mergeCell ref="A47:F49"/>
    <mergeCell ref="A15:C15"/>
    <mergeCell ref="A16:B16"/>
    <mergeCell ref="A17:C17"/>
    <mergeCell ref="A18:C18"/>
    <mergeCell ref="A19:C19"/>
    <mergeCell ref="A20:B20"/>
    <mergeCell ref="A8:C8"/>
    <mergeCell ref="A9:C9"/>
    <mergeCell ref="A10:C10"/>
    <mergeCell ref="A11:C11"/>
    <mergeCell ref="A13:C13"/>
    <mergeCell ref="A14:C14"/>
    <mergeCell ref="A1:F1"/>
    <mergeCell ref="F3:F4"/>
    <mergeCell ref="A6:B7"/>
    <mergeCell ref="C6:C7"/>
    <mergeCell ref="D6:D7"/>
    <mergeCell ref="E6:E7"/>
    <mergeCell ref="F6:F7"/>
  </mergeCells>
  <conditionalFormatting sqref="D21">
    <cfRule type="cellIs" priority="1" dxfId="22" operator="greaterThan" stopIfTrue="1">
      <formula>3400</formula>
    </cfRule>
  </conditionalFormatting>
  <conditionalFormatting sqref="D19">
    <cfRule type="cellIs" priority="2" dxfId="22" operator="greaterThan" stopIfTrue="1">
      <formula>3050</formula>
    </cfRule>
  </conditionalFormatting>
  <dataValidations count="2">
    <dataValidation type="whole" operator="lessThanOrEqual" allowBlank="1" showInputMessage="1" showErrorMessage="1" errorTitle="Baggage" error="Maximum weight in baggage compartment is 130 pounds" sqref="D14">
      <formula1>130</formula1>
    </dataValidation>
    <dataValidation type="whole" operator="lessThanOrEqual" allowBlank="1" showInputMessage="1" showErrorMessage="1" errorTitle="Fuel Load" error="Maximum fuel load is 56 usable gallons" sqref="C16">
      <formula1>56</formula1>
    </dataValidation>
  </dataValidations>
  <printOptions horizontalCentered="1" verticalCentered="1"/>
  <pageMargins left="0.5" right="0.5" top="0.5" bottom="0.5" header="0" footer="0"/>
  <pageSetup fitToHeight="1" fitToWidth="1" horizontalDpi="600" verticalDpi="600" orientation="portrait"/>
  <headerFooter alignWithMargins="0">
    <oddFooter>&amp;L&amp;"Lucida Grande,Regular"&amp;K000000&amp;A Weight and Balance Form&amp;R&amp;"Lucida Grande,Regular"&amp;K000000Printed on &amp;D &amp;T</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J49"/>
  <sheetViews>
    <sheetView workbookViewId="0" topLeftCell="A1">
      <selection activeCell="A13" sqref="A13:N13"/>
    </sheetView>
  </sheetViews>
  <sheetFormatPr defaultColWidth="9.140625" defaultRowHeight="12.75"/>
  <cols>
    <col min="1" max="1" width="20.00390625" style="1" customWidth="1"/>
    <col min="2" max="2" width="6.00390625" style="1" customWidth="1"/>
    <col min="3" max="3" width="8.8515625" style="1" customWidth="1"/>
    <col min="4" max="5" width="12.7109375" style="1" customWidth="1"/>
    <col min="6" max="6" width="12.8515625" style="1" customWidth="1"/>
    <col min="7" max="7" width="10.7109375" style="1" customWidth="1"/>
    <col min="8" max="8" width="10.28125" style="1" customWidth="1"/>
    <col min="9" max="9" width="9.140625" style="1" customWidth="1"/>
    <col min="10" max="10" width="13.28125" style="1" customWidth="1"/>
    <col min="11" max="16384" width="9.140625" style="1" customWidth="1"/>
  </cols>
  <sheetData>
    <row r="1" spans="1:7" ht="16.5" customHeight="1">
      <c r="A1" s="66" t="s">
        <v>16</v>
      </c>
      <c r="B1" s="66"/>
      <c r="C1" s="66"/>
      <c r="D1" s="66"/>
      <c r="E1" s="66"/>
      <c r="F1" s="66"/>
      <c r="G1" s="13"/>
    </row>
    <row r="2" spans="1:7" ht="16.5" customHeight="1">
      <c r="A2" s="6"/>
      <c r="B2" s="6"/>
      <c r="C2" s="7"/>
      <c r="D2" s="6"/>
      <c r="F2" s="11"/>
      <c r="G2" s="11"/>
    </row>
    <row r="3" spans="1:7" ht="16.5" customHeight="1">
      <c r="A3" s="6"/>
      <c r="B3" s="6"/>
      <c r="C3" s="16" t="s">
        <v>8</v>
      </c>
      <c r="D3" s="21"/>
      <c r="F3" s="70" t="s">
        <v>27</v>
      </c>
      <c r="G3" s="11"/>
    </row>
    <row r="4" spans="1:7" ht="16.5" customHeight="1">
      <c r="A4" s="6"/>
      <c r="B4" s="6"/>
      <c r="C4" s="16" t="s">
        <v>26</v>
      </c>
      <c r="D4" s="15" t="s">
        <v>34</v>
      </c>
      <c r="F4" s="70"/>
      <c r="G4" s="11"/>
    </row>
    <row r="5" spans="5:10" ht="12.75" customHeight="1">
      <c r="E5" s="11"/>
      <c r="F5" s="11"/>
      <c r="G5" s="11"/>
      <c r="J5" s="2"/>
    </row>
    <row r="6" spans="1:10" ht="12.75" customHeight="1">
      <c r="A6" s="67" t="s">
        <v>0</v>
      </c>
      <c r="B6" s="67"/>
      <c r="C6" s="67" t="s">
        <v>20</v>
      </c>
      <c r="D6" s="69" t="s">
        <v>13</v>
      </c>
      <c r="E6" s="69" t="s">
        <v>14</v>
      </c>
      <c r="F6" s="69" t="s">
        <v>15</v>
      </c>
      <c r="G6" s="8"/>
      <c r="J6" s="9"/>
    </row>
    <row r="7" spans="1:10" ht="12.75" thickBot="1">
      <c r="A7" s="68"/>
      <c r="B7" s="68"/>
      <c r="C7" s="68"/>
      <c r="D7" s="68"/>
      <c r="E7" s="68"/>
      <c r="F7" s="68"/>
      <c r="J7" s="9"/>
    </row>
    <row r="8" spans="1:10" ht="12">
      <c r="A8" s="77" t="s">
        <v>28</v>
      </c>
      <c r="B8" s="78"/>
      <c r="C8" s="79"/>
      <c r="D8" s="35">
        <v>2154</v>
      </c>
      <c r="E8" s="29">
        <f>F8/D8*1000</f>
        <v>141.2418755803157</v>
      </c>
      <c r="F8" s="22">
        <v>304.235</v>
      </c>
      <c r="J8" s="9"/>
    </row>
    <row r="9" spans="1:10" ht="12">
      <c r="A9" s="71" t="s">
        <v>3</v>
      </c>
      <c r="B9" s="72"/>
      <c r="C9" s="73"/>
      <c r="D9" s="36"/>
      <c r="E9" s="30">
        <v>143.5</v>
      </c>
      <c r="F9" s="23">
        <f>(D9*E9)/1000</f>
        <v>0</v>
      </c>
      <c r="J9" s="10"/>
    </row>
    <row r="10" spans="1:10" ht="12">
      <c r="A10" s="71" t="s">
        <v>9</v>
      </c>
      <c r="B10" s="72"/>
      <c r="C10" s="73"/>
      <c r="D10" s="36"/>
      <c r="E10" s="30">
        <v>143.5</v>
      </c>
      <c r="F10" s="23">
        <f>(D10*E10)/1000</f>
        <v>0</v>
      </c>
      <c r="J10" s="10"/>
    </row>
    <row r="11" spans="1:10" ht="12">
      <c r="A11" s="71" t="s">
        <v>18</v>
      </c>
      <c r="B11" s="72"/>
      <c r="C11" s="73"/>
      <c r="D11" s="36"/>
      <c r="E11" s="30">
        <v>180</v>
      </c>
      <c r="F11" s="23">
        <f>(D11*E11)/1000</f>
        <v>0</v>
      </c>
      <c r="J11" s="9"/>
    </row>
    <row r="12" spans="1:6" ht="12">
      <c r="A12" s="71" t="s">
        <v>19</v>
      </c>
      <c r="B12" s="72"/>
      <c r="C12" s="73"/>
      <c r="D12" s="36"/>
      <c r="E12" s="30">
        <v>180</v>
      </c>
      <c r="F12" s="23">
        <f>(D12*E12)/1000</f>
        <v>0</v>
      </c>
    </row>
    <row r="13" spans="1:6" ht="12.75" thickBot="1">
      <c r="A13" s="71" t="s">
        <v>25</v>
      </c>
      <c r="B13" s="72"/>
      <c r="C13" s="73"/>
      <c r="D13" s="36"/>
      <c r="E13" s="30">
        <v>208</v>
      </c>
      <c r="F13" s="23">
        <f>(D13*E13)/1000</f>
        <v>0</v>
      </c>
    </row>
    <row r="14" spans="1:10" ht="24" customHeight="1" thickBot="1">
      <c r="A14" s="74" t="s">
        <v>17</v>
      </c>
      <c r="B14" s="74"/>
      <c r="C14" s="74"/>
      <c r="D14" s="39">
        <f>SUM(D8:D13)</f>
        <v>2154</v>
      </c>
      <c r="E14" s="32">
        <f>F14*1000/D14</f>
        <v>141.24187558031568</v>
      </c>
      <c r="F14" s="25">
        <f>SUM(F8:F13)</f>
        <v>304.235</v>
      </c>
      <c r="J14" s="10"/>
    </row>
    <row r="15" spans="1:6" ht="12.75" thickBot="1">
      <c r="A15" s="75" t="s">
        <v>29</v>
      </c>
      <c r="B15" s="76"/>
      <c r="C15" s="17">
        <v>56</v>
      </c>
      <c r="D15" s="40">
        <f>C15*6</f>
        <v>336</v>
      </c>
      <c r="E15" s="33">
        <v>153.8</v>
      </c>
      <c r="F15" s="26">
        <f>(D15*E15)/1000</f>
        <v>51.6768</v>
      </c>
    </row>
    <row r="16" spans="1:6" ht="13.5" customHeight="1">
      <c r="A16" s="80" t="s">
        <v>10</v>
      </c>
      <c r="B16" s="80"/>
      <c r="C16" s="80"/>
      <c r="D16" s="41">
        <f>SUM(D14,D15)</f>
        <v>2490</v>
      </c>
      <c r="E16" s="34">
        <f>F16*1000/D16</f>
        <v>142.93646586345383</v>
      </c>
      <c r="F16" s="27">
        <f>SUM(F14,F15)</f>
        <v>355.9118</v>
      </c>
    </row>
    <row r="17" spans="1:6" ht="13.5" customHeight="1">
      <c r="A17" s="81" t="s">
        <v>50</v>
      </c>
      <c r="B17" s="81"/>
      <c r="C17" s="81"/>
      <c r="D17" s="41">
        <v>-6</v>
      </c>
      <c r="E17" s="34">
        <v>153.8</v>
      </c>
      <c r="F17" s="27">
        <f>D17*E17/1000</f>
        <v>-0.9228000000000001</v>
      </c>
    </row>
    <row r="18" spans="1:6" ht="24" customHeight="1">
      <c r="A18" s="82" t="s">
        <v>11</v>
      </c>
      <c r="B18" s="82"/>
      <c r="C18" s="82"/>
      <c r="D18" s="42">
        <f>D16+D17</f>
        <v>2484</v>
      </c>
      <c r="E18" s="20">
        <f>F18/D18*1000</f>
        <v>142.91022544283416</v>
      </c>
      <c r="F18" s="28">
        <f>F16+F17</f>
        <v>354.98900000000003</v>
      </c>
    </row>
    <row r="19" spans="1:6" ht="13.5" customHeight="1">
      <c r="A19" s="81" t="s">
        <v>6</v>
      </c>
      <c r="B19" s="84"/>
      <c r="C19" s="19">
        <v>56</v>
      </c>
      <c r="D19" s="41">
        <f>-C19*6</f>
        <v>-336</v>
      </c>
      <c r="E19" s="34">
        <v>153.8</v>
      </c>
      <c r="F19" s="27">
        <f>D19*E19/1000</f>
        <v>-51.6768</v>
      </c>
    </row>
    <row r="20" spans="1:6" s="2" customFormat="1" ht="24" customHeight="1">
      <c r="A20" s="82" t="s">
        <v>12</v>
      </c>
      <c r="B20" s="82"/>
      <c r="C20" s="82"/>
      <c r="D20" s="42">
        <f>D18+D19</f>
        <v>2148</v>
      </c>
      <c r="E20" s="20">
        <f>F20/D20*1000</f>
        <v>141.2067970204842</v>
      </c>
      <c r="F20" s="28">
        <f>F18+F19</f>
        <v>303.3122</v>
      </c>
    </row>
    <row r="23" ht="12">
      <c r="F23" s="2"/>
    </row>
    <row r="24" spans="2:6" ht="12">
      <c r="B24" s="2" t="s">
        <v>23</v>
      </c>
      <c r="D24" s="2" t="s">
        <v>32</v>
      </c>
      <c r="F24" s="2"/>
    </row>
    <row r="25" spans="2:6" ht="12">
      <c r="B25" s="5" t="s">
        <v>1</v>
      </c>
      <c r="C25" s="5" t="s">
        <v>2</v>
      </c>
      <c r="D25" s="1" t="s">
        <v>1</v>
      </c>
      <c r="E25" s="1" t="s">
        <v>2</v>
      </c>
      <c r="F25" s="4"/>
    </row>
    <row r="26" spans="2:6" ht="12">
      <c r="B26" s="5">
        <v>2110</v>
      </c>
      <c r="C26" s="5">
        <v>144.6</v>
      </c>
      <c r="D26" s="1">
        <v>2900</v>
      </c>
      <c r="E26" s="4">
        <v>148.1</v>
      </c>
      <c r="F26" s="3"/>
    </row>
    <row r="27" spans="2:6" ht="12">
      <c r="B27" s="5">
        <v>2110</v>
      </c>
      <c r="C27" s="5">
        <v>138.7</v>
      </c>
      <c r="D27" s="1">
        <v>2900</v>
      </c>
      <c r="E27" s="1">
        <v>143.1</v>
      </c>
      <c r="F27" s="4"/>
    </row>
    <row r="28" spans="2:6" ht="12">
      <c r="B28" s="5">
        <v>2694</v>
      </c>
      <c r="C28" s="5">
        <v>141</v>
      </c>
      <c r="D28" s="1">
        <v>3000</v>
      </c>
      <c r="E28" s="1">
        <v>144.1</v>
      </c>
      <c r="F28" s="4"/>
    </row>
    <row r="29" spans="2:6" ht="12">
      <c r="B29" s="5">
        <v>3000</v>
      </c>
      <c r="C29" s="5">
        <v>144.1</v>
      </c>
      <c r="D29" s="1">
        <v>3000</v>
      </c>
      <c r="E29" s="1">
        <v>148</v>
      </c>
      <c r="F29" s="4"/>
    </row>
    <row r="30" spans="2:5" ht="12">
      <c r="B30" s="5">
        <v>3000</v>
      </c>
      <c r="C30" s="5">
        <v>148</v>
      </c>
      <c r="D30" s="1">
        <v>2900</v>
      </c>
      <c r="E30" s="1">
        <v>148.1</v>
      </c>
    </row>
    <row r="31" spans="2:3" ht="12">
      <c r="B31" s="5">
        <v>2900</v>
      </c>
      <c r="C31" s="5">
        <v>148.1</v>
      </c>
    </row>
    <row r="32" spans="2:3" ht="12">
      <c r="B32" s="1">
        <v>2570</v>
      </c>
      <c r="C32" s="1">
        <v>147.4</v>
      </c>
    </row>
    <row r="33" spans="2:3" ht="12">
      <c r="B33" s="1">
        <v>2110</v>
      </c>
      <c r="C33" s="1">
        <v>144.6</v>
      </c>
    </row>
    <row r="34" spans="4:5" ht="12">
      <c r="D34" s="5"/>
      <c r="E34" s="5"/>
    </row>
    <row r="46" spans="1:7" ht="12.75" customHeight="1">
      <c r="A46" s="83" t="s">
        <v>22</v>
      </c>
      <c r="B46" s="83"/>
      <c r="C46" s="83"/>
      <c r="D46" s="83"/>
      <c r="E46" s="83"/>
      <c r="F46" s="83"/>
      <c r="G46" s="14"/>
    </row>
    <row r="47" spans="1:6" ht="12">
      <c r="A47" s="83"/>
      <c r="B47" s="83"/>
      <c r="C47" s="83"/>
      <c r="D47" s="83"/>
      <c r="E47" s="83"/>
      <c r="F47" s="83"/>
    </row>
    <row r="48" spans="1:6" ht="12">
      <c r="A48" s="83"/>
      <c r="B48" s="83"/>
      <c r="C48" s="83"/>
      <c r="D48" s="83"/>
      <c r="E48" s="83"/>
      <c r="F48" s="83"/>
    </row>
    <row r="49" ht="12">
      <c r="F49" s="54" t="s">
        <v>24</v>
      </c>
    </row>
  </sheetData>
  <sheetProtection sheet="1" objects="1" scenarios="1" selectLockedCells="1"/>
  <mergeCells count="21">
    <mergeCell ref="A1:F1"/>
    <mergeCell ref="A6:B7"/>
    <mergeCell ref="D6:D7"/>
    <mergeCell ref="E6:E7"/>
    <mergeCell ref="F6:F7"/>
    <mergeCell ref="F3:F4"/>
    <mergeCell ref="A13:C13"/>
    <mergeCell ref="C6:C7"/>
    <mergeCell ref="A14:C14"/>
    <mergeCell ref="A15:B15"/>
    <mergeCell ref="A8:C8"/>
    <mergeCell ref="A9:C9"/>
    <mergeCell ref="A10:C10"/>
    <mergeCell ref="A11:C11"/>
    <mergeCell ref="A12:C12"/>
    <mergeCell ref="A16:C16"/>
    <mergeCell ref="A17:C17"/>
    <mergeCell ref="A18:C18"/>
    <mergeCell ref="A46:F48"/>
    <mergeCell ref="A19:B19"/>
    <mergeCell ref="A20:C20"/>
  </mergeCells>
  <conditionalFormatting sqref="D18">
    <cfRule type="cellIs" priority="1" dxfId="22" operator="greaterThan" stopIfTrue="1">
      <formula>3000</formula>
    </cfRule>
  </conditionalFormatting>
  <conditionalFormatting sqref="D20">
    <cfRule type="cellIs" priority="2" dxfId="22" operator="greaterThan" stopIfTrue="1">
      <formula>2900</formula>
    </cfRule>
  </conditionalFormatting>
  <dataValidations count="2">
    <dataValidation type="whole" operator="lessThanOrEqual" allowBlank="1" showInputMessage="1" showErrorMessage="1" errorTitle="Fuel Load" error="Maximum fuel load is 56 usable gallons" sqref="C15">
      <formula1>56</formula1>
    </dataValidation>
    <dataValidation type="whole" operator="lessThanOrEqual" allowBlank="1" showInputMessage="1" showErrorMessage="1" errorTitle="Baggage" error="Maximum weight in baggage compartment is 130 pounds" sqref="D13">
      <formula1>130</formula1>
    </dataValidation>
  </dataValidations>
  <printOptions horizontalCentered="1" verticalCentered="1"/>
  <pageMargins left="0.5" right="0.5" top="0.5" bottom="0.5" header="0" footer="0"/>
  <pageSetup fitToHeight="1" fitToWidth="1" horizontalDpi="600" verticalDpi="600" orientation="portrait"/>
  <headerFooter alignWithMargins="0">
    <oddFooter>&amp;L&amp;"Lucida Grande,Regular"&amp;K000000&amp;A Weight and Balance Form&amp;R&amp;"Lucida Grande,Regular"&amp;K000000Printed on &amp;D &amp;T</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50"/>
  <sheetViews>
    <sheetView tabSelected="1" workbookViewId="0" topLeftCell="A1">
      <selection activeCell="D9" sqref="D9"/>
    </sheetView>
  </sheetViews>
  <sheetFormatPr defaultColWidth="9.140625" defaultRowHeight="12.75"/>
  <cols>
    <col min="1" max="1" width="20.00390625" style="1" customWidth="1"/>
    <col min="2" max="2" width="6.00390625" style="1" customWidth="1"/>
    <col min="3" max="3" width="8.8515625" style="1" customWidth="1"/>
    <col min="4" max="5" width="12.7109375" style="1" customWidth="1"/>
    <col min="6" max="6" width="12.8515625" style="1" customWidth="1"/>
    <col min="7" max="7" width="10.7109375" style="1" customWidth="1"/>
    <col min="8" max="8" width="10.28125" style="1" customWidth="1"/>
    <col min="9" max="9" width="9.140625" style="1" customWidth="1"/>
    <col min="10" max="10" width="13.28125" style="1" customWidth="1"/>
    <col min="11" max="11" width="9.140625" style="1" customWidth="1"/>
    <col min="12" max="16384" width="9.140625" style="1" customWidth="1"/>
  </cols>
  <sheetData>
    <row r="1" spans="1:7" ht="16.5" customHeight="1">
      <c r="A1" s="66" t="s">
        <v>16</v>
      </c>
      <c r="B1" s="66"/>
      <c r="C1" s="66"/>
      <c r="D1" s="66"/>
      <c r="E1" s="66"/>
      <c r="F1" s="66"/>
      <c r="G1" s="13"/>
    </row>
    <row r="2" spans="1:7" ht="16.5" customHeight="1">
      <c r="A2" s="6"/>
      <c r="B2" s="6"/>
      <c r="C2" s="7"/>
      <c r="D2" s="6"/>
      <c r="F2" s="11"/>
      <c r="G2" s="11"/>
    </row>
    <row r="3" spans="1:7" ht="16.5" customHeight="1">
      <c r="A3" s="6"/>
      <c r="B3" s="6"/>
      <c r="C3" s="16" t="s">
        <v>8</v>
      </c>
      <c r="D3" s="60" t="s">
        <v>65</v>
      </c>
      <c r="F3" s="70" t="s">
        <v>27</v>
      </c>
      <c r="G3" s="11"/>
    </row>
    <row r="4" spans="1:7" ht="16.5" customHeight="1">
      <c r="A4" s="6"/>
      <c r="B4" s="6"/>
      <c r="C4" s="16" t="s">
        <v>26</v>
      </c>
      <c r="D4" s="15" t="s">
        <v>33</v>
      </c>
      <c r="F4" s="70"/>
      <c r="G4" s="11"/>
    </row>
    <row r="5" spans="5:10" ht="12.75" customHeight="1">
      <c r="E5" s="11"/>
      <c r="F5" s="11"/>
      <c r="G5" s="11"/>
      <c r="J5" s="2"/>
    </row>
    <row r="6" spans="1:10" ht="12.75" customHeight="1">
      <c r="A6" s="67" t="s">
        <v>0</v>
      </c>
      <c r="B6" s="67"/>
      <c r="C6" s="67" t="s">
        <v>20</v>
      </c>
      <c r="D6" s="69" t="s">
        <v>13</v>
      </c>
      <c r="E6" s="69" t="s">
        <v>14</v>
      </c>
      <c r="F6" s="69" t="s">
        <v>15</v>
      </c>
      <c r="G6" s="8"/>
      <c r="J6" s="9"/>
    </row>
    <row r="7" spans="1:10" ht="12.75" thickBot="1">
      <c r="A7" s="68"/>
      <c r="B7" s="68"/>
      <c r="C7" s="68"/>
      <c r="D7" s="68"/>
      <c r="E7" s="68"/>
      <c r="F7" s="68"/>
      <c r="J7" s="9"/>
    </row>
    <row r="8" spans="1:10" ht="12">
      <c r="A8" s="77" t="s">
        <v>28</v>
      </c>
      <c r="B8" s="78"/>
      <c r="C8" s="79"/>
      <c r="D8" s="56">
        <v>2170.51</v>
      </c>
      <c r="E8" s="29">
        <f>F8/D8*1000</f>
        <v>140.43888302749122</v>
      </c>
      <c r="F8" s="57">
        <v>304.824</v>
      </c>
      <c r="J8" s="9"/>
    </row>
    <row r="9" spans="1:10" ht="12">
      <c r="A9" s="71" t="s">
        <v>3</v>
      </c>
      <c r="B9" s="72"/>
      <c r="C9" s="73"/>
      <c r="D9" s="36"/>
      <c r="E9" s="30">
        <v>143.5</v>
      </c>
      <c r="F9" s="23">
        <f>(D9*E9)/1000</f>
        <v>0</v>
      </c>
      <c r="J9" s="10"/>
    </row>
    <row r="10" spans="1:10" ht="12">
      <c r="A10" s="71" t="s">
        <v>9</v>
      </c>
      <c r="B10" s="72"/>
      <c r="C10" s="73"/>
      <c r="D10" s="36"/>
      <c r="E10" s="30">
        <v>143.5</v>
      </c>
      <c r="F10" s="23">
        <f>(D10*E10)/1000</f>
        <v>0</v>
      </c>
      <c r="J10" s="10"/>
    </row>
    <row r="11" spans="1:10" ht="12">
      <c r="A11" s="71" t="s">
        <v>18</v>
      </c>
      <c r="B11" s="72"/>
      <c r="C11" s="73"/>
      <c r="D11" s="36"/>
      <c r="E11" s="30">
        <v>180</v>
      </c>
      <c r="F11" s="23">
        <f>(D11*E11)/1000</f>
        <v>0</v>
      </c>
      <c r="J11" s="9"/>
    </row>
    <row r="12" spans="1:10" ht="12">
      <c r="A12" s="51" t="s">
        <v>19</v>
      </c>
      <c r="B12" s="52"/>
      <c r="C12" s="53"/>
      <c r="D12" s="36"/>
      <c r="E12" s="30">
        <v>180</v>
      </c>
      <c r="F12" s="23">
        <f>(D12*E12)/1000</f>
        <v>0</v>
      </c>
      <c r="J12" s="9"/>
    </row>
    <row r="13" spans="1:6" ht="13.5" customHeight="1" hidden="1">
      <c r="A13" s="71" t="s">
        <v>57</v>
      </c>
      <c r="B13" s="72"/>
      <c r="C13" s="73"/>
      <c r="D13" s="36"/>
      <c r="E13" s="30">
        <v>180</v>
      </c>
      <c r="F13" s="23">
        <f>(D13*E13)/1000</f>
        <v>0</v>
      </c>
    </row>
    <row r="14" spans="1:6" ht="12.75" thickBot="1">
      <c r="A14" s="71" t="s">
        <v>25</v>
      </c>
      <c r="B14" s="72"/>
      <c r="C14" s="73"/>
      <c r="D14" s="36"/>
      <c r="E14" s="30">
        <v>208</v>
      </c>
      <c r="F14" s="23">
        <f>(D14*E14)/1000</f>
        <v>0</v>
      </c>
    </row>
    <row r="15" spans="1:10" ht="24" customHeight="1" thickBot="1">
      <c r="A15" s="74" t="s">
        <v>17</v>
      </c>
      <c r="B15" s="74"/>
      <c r="C15" s="74"/>
      <c r="D15" s="39">
        <f>SUM(D8:D14)</f>
        <v>2170.51</v>
      </c>
      <c r="E15" s="32">
        <f>F15*1000/D15</f>
        <v>140.43888302749122</v>
      </c>
      <c r="F15" s="25">
        <f>SUM(F8:F14)</f>
        <v>304.824</v>
      </c>
      <c r="J15" s="10"/>
    </row>
    <row r="16" spans="1:6" ht="12.75" thickBot="1">
      <c r="A16" s="75" t="s">
        <v>29</v>
      </c>
      <c r="B16" s="76"/>
      <c r="C16" s="17">
        <v>56</v>
      </c>
      <c r="D16" s="40">
        <f>C16*6</f>
        <v>336</v>
      </c>
      <c r="E16" s="33">
        <v>153.8</v>
      </c>
      <c r="F16" s="26">
        <f>(D16*E16)/1000</f>
        <v>51.6768</v>
      </c>
    </row>
    <row r="17" spans="1:6" ht="13.5" customHeight="1">
      <c r="A17" s="80" t="s">
        <v>10</v>
      </c>
      <c r="B17" s="80"/>
      <c r="C17" s="80"/>
      <c r="D17" s="41">
        <f>SUM(D15,D16)</f>
        <v>2506.51</v>
      </c>
      <c r="E17" s="34">
        <f>F17*1000/D17</f>
        <v>142.22995320186234</v>
      </c>
      <c r="F17" s="27">
        <f>SUM(F15,F16)</f>
        <v>356.5008</v>
      </c>
    </row>
    <row r="18" spans="1:6" ht="13.5" customHeight="1">
      <c r="A18" s="81" t="s">
        <v>50</v>
      </c>
      <c r="B18" s="81"/>
      <c r="C18" s="81"/>
      <c r="D18" s="41">
        <v>-6</v>
      </c>
      <c r="E18" s="34">
        <v>153.8</v>
      </c>
      <c r="F18" s="27">
        <f>D18*E18/1000</f>
        <v>-0.9228000000000001</v>
      </c>
    </row>
    <row r="19" spans="1:6" ht="24" customHeight="1">
      <c r="A19" s="82" t="s">
        <v>11</v>
      </c>
      <c r="B19" s="82"/>
      <c r="C19" s="82"/>
      <c r="D19" s="42">
        <f>D17+D18</f>
        <v>2500.51</v>
      </c>
      <c r="E19" s="20">
        <f>F19/D19*1000</f>
        <v>142.20219075308637</v>
      </c>
      <c r="F19" s="28">
        <f>F17+F18</f>
        <v>355.57800000000003</v>
      </c>
    </row>
    <row r="20" spans="1:6" ht="13.5" customHeight="1">
      <c r="A20" s="81" t="s">
        <v>6</v>
      </c>
      <c r="B20" s="84"/>
      <c r="C20" s="19">
        <v>56</v>
      </c>
      <c r="D20" s="41">
        <f>-C20*6</f>
        <v>-336</v>
      </c>
      <c r="E20" s="34">
        <v>153.8</v>
      </c>
      <c r="F20" s="27">
        <f>D20*E20/1000</f>
        <v>-51.6768</v>
      </c>
    </row>
    <row r="21" spans="1:6" s="2" customFormat="1" ht="24" customHeight="1">
      <c r="A21" s="82" t="s">
        <v>12</v>
      </c>
      <c r="B21" s="82"/>
      <c r="C21" s="82"/>
      <c r="D21" s="42">
        <f>D19+D20</f>
        <v>2164.51</v>
      </c>
      <c r="E21" s="20">
        <f>F21/D21*1000</f>
        <v>140.40184614531694</v>
      </c>
      <c r="F21" s="28">
        <f>F19+F20</f>
        <v>303.9012</v>
      </c>
    </row>
    <row r="24" ht="12">
      <c r="F24" s="2"/>
    </row>
    <row r="25" spans="2:6" ht="12">
      <c r="B25" s="2" t="s">
        <v>23</v>
      </c>
      <c r="D25" s="2"/>
      <c r="F25" s="2"/>
    </row>
    <row r="26" spans="2:6" ht="12">
      <c r="B26" s="5" t="s">
        <v>1</v>
      </c>
      <c r="C26" s="5" t="s">
        <v>2</v>
      </c>
      <c r="F26" s="4"/>
    </row>
    <row r="27" spans="2:6" ht="12">
      <c r="B27" s="5">
        <v>2100</v>
      </c>
      <c r="C27" s="5">
        <v>137.8</v>
      </c>
      <c r="E27" s="4"/>
      <c r="F27" s="3"/>
    </row>
    <row r="28" spans="2:6" ht="12">
      <c r="B28" s="5">
        <v>2700</v>
      </c>
      <c r="C28" s="5">
        <v>139.1</v>
      </c>
      <c r="F28" s="4"/>
    </row>
    <row r="29" spans="2:6" ht="12">
      <c r="B29" s="5">
        <v>3050</v>
      </c>
      <c r="C29" s="5">
        <v>141.4</v>
      </c>
      <c r="F29" s="4"/>
    </row>
    <row r="30" spans="2:6" ht="12">
      <c r="B30" s="5">
        <v>3050</v>
      </c>
      <c r="C30" s="5">
        <v>148.1</v>
      </c>
      <c r="F30" s="4"/>
    </row>
    <row r="31" spans="2:3" ht="12">
      <c r="B31" s="5">
        <v>2100</v>
      </c>
      <c r="C31" s="5">
        <v>148.1</v>
      </c>
    </row>
    <row r="32" spans="2:3" ht="12">
      <c r="B32" s="5">
        <v>2100</v>
      </c>
      <c r="C32" s="5">
        <v>137.8</v>
      </c>
    </row>
    <row r="35" spans="4:5" ht="12">
      <c r="D35" s="5"/>
      <c r="E35" s="5"/>
    </row>
    <row r="47" spans="1:7" ht="12.75" customHeight="1">
      <c r="A47" s="83" t="s">
        <v>22</v>
      </c>
      <c r="B47" s="83"/>
      <c r="C47" s="83"/>
      <c r="D47" s="83"/>
      <c r="E47" s="83"/>
      <c r="F47" s="83"/>
      <c r="G47" s="14"/>
    </row>
    <row r="48" spans="1:6" ht="12">
      <c r="A48" s="83"/>
      <c r="B48" s="83"/>
      <c r="C48" s="83"/>
      <c r="D48" s="83"/>
      <c r="E48" s="83"/>
      <c r="F48" s="83"/>
    </row>
    <row r="49" spans="1:6" ht="12">
      <c r="A49" s="83"/>
      <c r="B49" s="83"/>
      <c r="C49" s="83"/>
      <c r="D49" s="83"/>
      <c r="E49" s="83"/>
      <c r="F49" s="83"/>
    </row>
    <row r="50" ht="12">
      <c r="F50" s="54" t="s">
        <v>66</v>
      </c>
    </row>
  </sheetData>
  <sheetProtection sheet="1" objects="1" scenarios="1" selectLockedCells="1"/>
  <mergeCells count="21">
    <mergeCell ref="A17:C17"/>
    <mergeCell ref="A18:C18"/>
    <mergeCell ref="A19:C19"/>
    <mergeCell ref="A47:F49"/>
    <mergeCell ref="A20:B20"/>
    <mergeCell ref="A21:C21"/>
    <mergeCell ref="A14:C14"/>
    <mergeCell ref="C6:C7"/>
    <mergeCell ref="A15:C15"/>
    <mergeCell ref="A16:B16"/>
    <mergeCell ref="A8:C8"/>
    <mergeCell ref="A9:C9"/>
    <mergeCell ref="A10:C10"/>
    <mergeCell ref="A11:C11"/>
    <mergeCell ref="A13:C13"/>
    <mergeCell ref="A1:F1"/>
    <mergeCell ref="A6:B7"/>
    <mergeCell ref="D6:D7"/>
    <mergeCell ref="E6:E7"/>
    <mergeCell ref="F6:F7"/>
    <mergeCell ref="F3:F4"/>
  </mergeCells>
  <conditionalFormatting sqref="D21">
    <cfRule type="cellIs" priority="1" dxfId="22" operator="greaterThan" stopIfTrue="1">
      <formula>3400</formula>
    </cfRule>
  </conditionalFormatting>
  <conditionalFormatting sqref="D19">
    <cfRule type="cellIs" priority="2" dxfId="22" operator="greaterThan" stopIfTrue="1">
      <formula>3050</formula>
    </cfRule>
  </conditionalFormatting>
  <dataValidations count="2">
    <dataValidation type="whole" operator="lessThanOrEqual" allowBlank="1" showInputMessage="1" showErrorMessage="1" errorTitle="Fuel Load" error="Maximum fuel load is 56 usable gallons" sqref="C16">
      <formula1>56</formula1>
    </dataValidation>
    <dataValidation type="whole" operator="lessThanOrEqual" allowBlank="1" showInputMessage="1" showErrorMessage="1" errorTitle="Baggage" error="Maximum weight in baggage compartment is 130 pounds" sqref="D14">
      <formula1>130</formula1>
    </dataValidation>
  </dataValidations>
  <printOptions horizontalCentered="1" verticalCentered="1"/>
  <pageMargins left="0.5" right="0.5" top="0.5" bottom="0.5" header="0" footer="0"/>
  <pageSetup fitToHeight="1" fitToWidth="1" horizontalDpi="600" verticalDpi="600" orientation="portrait"/>
  <headerFooter alignWithMargins="0">
    <oddFooter>&amp;L&amp;"Lucida Grande,Regular"&amp;K000000&amp;A Weight and Balance Form&amp;R&amp;"Lucida Grande,Regular"&amp;K000000Printed on &amp;D &amp;T</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52"/>
  <sheetViews>
    <sheetView workbookViewId="0" topLeftCell="A1">
      <selection activeCell="D9" sqref="D9"/>
    </sheetView>
  </sheetViews>
  <sheetFormatPr defaultColWidth="9.140625" defaultRowHeight="12.75"/>
  <cols>
    <col min="1" max="1" width="20.00390625" style="1" customWidth="1"/>
    <col min="2" max="2" width="6.00390625" style="1" customWidth="1"/>
    <col min="3" max="3" width="8.8515625" style="1" customWidth="1"/>
    <col min="4" max="5" width="12.7109375" style="1" customWidth="1"/>
    <col min="6" max="6" width="12.8515625" style="1" customWidth="1"/>
    <col min="7" max="7" width="10.7109375" style="1" customWidth="1"/>
    <col min="8" max="8" width="10.28125" style="1" customWidth="1"/>
    <col min="9" max="9" width="9.140625" style="1" customWidth="1"/>
    <col min="10" max="10" width="13.28125" style="1" hidden="1" customWidth="1"/>
    <col min="11" max="11" width="9.140625" style="1" hidden="1" customWidth="1"/>
    <col min="12" max="16384" width="9.140625" style="1" customWidth="1"/>
  </cols>
  <sheetData>
    <row r="1" spans="1:7" ht="16.5" customHeight="1">
      <c r="A1" s="66" t="s">
        <v>16</v>
      </c>
      <c r="B1" s="66"/>
      <c r="C1" s="66"/>
      <c r="D1" s="66"/>
      <c r="E1" s="66"/>
      <c r="F1" s="66"/>
      <c r="G1" s="13"/>
    </row>
    <row r="2" spans="1:7" ht="16.5" customHeight="1">
      <c r="A2" s="6"/>
      <c r="B2" s="6"/>
      <c r="C2" s="7"/>
      <c r="D2" s="6"/>
      <c r="F2" s="11"/>
      <c r="G2" s="11"/>
    </row>
    <row r="3" spans="1:7" ht="16.5" customHeight="1">
      <c r="A3" s="6"/>
      <c r="B3" s="6"/>
      <c r="C3" s="16" t="s">
        <v>8</v>
      </c>
      <c r="D3" s="60" t="s">
        <v>67</v>
      </c>
      <c r="F3" s="70" t="s">
        <v>27</v>
      </c>
      <c r="G3" s="11"/>
    </row>
    <row r="4" spans="1:7" ht="16.5" customHeight="1">
      <c r="A4" s="6"/>
      <c r="B4" s="6"/>
      <c r="C4" s="16" t="s">
        <v>26</v>
      </c>
      <c r="D4" s="15" t="s">
        <v>7</v>
      </c>
      <c r="F4" s="70"/>
      <c r="G4" s="11"/>
    </row>
    <row r="5" spans="5:10" ht="12.75" customHeight="1">
      <c r="E5" s="11"/>
      <c r="F5" s="11"/>
      <c r="G5" s="11"/>
      <c r="J5" s="2" t="s">
        <v>21</v>
      </c>
    </row>
    <row r="6" spans="1:11" ht="12.75" customHeight="1">
      <c r="A6" s="67" t="s">
        <v>0</v>
      </c>
      <c r="B6" s="67"/>
      <c r="C6" s="67" t="s">
        <v>20</v>
      </c>
      <c r="D6" s="69" t="s">
        <v>13</v>
      </c>
      <c r="E6" s="69" t="s">
        <v>14</v>
      </c>
      <c r="F6" s="69" t="s">
        <v>15</v>
      </c>
      <c r="G6" s="8"/>
      <c r="J6" s="9" t="s">
        <v>35</v>
      </c>
      <c r="K6" s="1">
        <v>6.4</v>
      </c>
    </row>
    <row r="7" spans="1:11" ht="12.75" thickBot="1">
      <c r="A7" s="68"/>
      <c r="B7" s="68"/>
      <c r="C7" s="68"/>
      <c r="D7" s="68"/>
      <c r="E7" s="68"/>
      <c r="F7" s="68"/>
      <c r="J7" s="9" t="s">
        <v>36</v>
      </c>
      <c r="K7" s="1">
        <v>5.7</v>
      </c>
    </row>
    <row r="8" spans="1:11" ht="12">
      <c r="A8" s="77" t="s">
        <v>28</v>
      </c>
      <c r="B8" s="78"/>
      <c r="C8" s="79"/>
      <c r="D8" s="62">
        <v>2408</v>
      </c>
      <c r="E8" s="61">
        <f>F8/D8*1000</f>
        <v>139.61378737541528</v>
      </c>
      <c r="F8" s="63">
        <v>336.19</v>
      </c>
      <c r="J8" s="9" t="s">
        <v>37</v>
      </c>
      <c r="K8" s="1">
        <v>4.3</v>
      </c>
    </row>
    <row r="9" spans="1:11" ht="12">
      <c r="A9" s="71" t="s">
        <v>3</v>
      </c>
      <c r="B9" s="72"/>
      <c r="C9" s="73"/>
      <c r="D9" s="36"/>
      <c r="E9" s="30">
        <v>143.5</v>
      </c>
      <c r="F9" s="23">
        <f aca="true" t="shared" si="0" ref="F9:F16">(D9*E9)/1000</f>
        <v>0</v>
      </c>
      <c r="J9" s="10" t="s">
        <v>38</v>
      </c>
      <c r="K9" s="1">
        <v>2.8</v>
      </c>
    </row>
    <row r="10" spans="1:11" ht="12">
      <c r="A10" s="71" t="s">
        <v>9</v>
      </c>
      <c r="B10" s="72"/>
      <c r="C10" s="73"/>
      <c r="D10" s="36"/>
      <c r="E10" s="30">
        <v>143.5</v>
      </c>
      <c r="F10" s="23">
        <f t="shared" si="0"/>
        <v>0</v>
      </c>
      <c r="J10" s="10" t="s">
        <v>39</v>
      </c>
      <c r="K10" s="1">
        <v>1.4</v>
      </c>
    </row>
    <row r="11" spans="1:11" ht="12">
      <c r="A11" s="71" t="s">
        <v>18</v>
      </c>
      <c r="B11" s="72"/>
      <c r="C11" s="73"/>
      <c r="D11" s="36"/>
      <c r="E11" s="30">
        <v>180</v>
      </c>
      <c r="F11" s="23">
        <f t="shared" si="0"/>
        <v>0</v>
      </c>
      <c r="J11" s="9" t="s">
        <v>40</v>
      </c>
      <c r="K11" s="1">
        <v>0</v>
      </c>
    </row>
    <row r="12" spans="1:6" ht="12">
      <c r="A12" s="71" t="s">
        <v>19</v>
      </c>
      <c r="B12" s="72"/>
      <c r="C12" s="73"/>
      <c r="D12" s="36"/>
      <c r="E12" s="30">
        <v>180</v>
      </c>
      <c r="F12" s="23">
        <f t="shared" si="0"/>
        <v>0</v>
      </c>
    </row>
    <row r="13" spans="1:6" ht="12" hidden="1">
      <c r="A13" s="51" t="s">
        <v>57</v>
      </c>
      <c r="B13" s="52"/>
      <c r="C13" s="53"/>
      <c r="D13" s="36"/>
      <c r="E13" s="30">
        <v>180</v>
      </c>
      <c r="F13" s="23">
        <f t="shared" si="0"/>
        <v>0</v>
      </c>
    </row>
    <row r="14" spans="1:6" ht="12">
      <c r="A14" s="71" t="s">
        <v>25</v>
      </c>
      <c r="B14" s="72"/>
      <c r="C14" s="73"/>
      <c r="D14" s="36"/>
      <c r="E14" s="30">
        <v>208</v>
      </c>
      <c r="F14" s="23">
        <f t="shared" si="0"/>
        <v>0</v>
      </c>
    </row>
    <row r="15" spans="1:6" ht="13.5" customHeight="1" hidden="1">
      <c r="A15" s="12" t="s">
        <v>21</v>
      </c>
      <c r="B15" s="85" t="s">
        <v>40</v>
      </c>
      <c r="C15" s="86"/>
      <c r="D15" s="37">
        <f>VLOOKUP(B15,J6:K17,2,FALSE)</f>
        <v>0</v>
      </c>
      <c r="E15" s="30">
        <v>273.5</v>
      </c>
      <c r="F15" s="23">
        <f t="shared" si="0"/>
        <v>0</v>
      </c>
    </row>
    <row r="16" spans="1:6" ht="12.75" thickBot="1">
      <c r="A16" s="87" t="s">
        <v>31</v>
      </c>
      <c r="B16" s="88"/>
      <c r="C16" s="18">
        <v>8</v>
      </c>
      <c r="D16" s="38">
        <f>C16*9.2</f>
        <v>73.6</v>
      </c>
      <c r="E16" s="31">
        <v>148.4</v>
      </c>
      <c r="F16" s="24">
        <f t="shared" si="0"/>
        <v>10.92224</v>
      </c>
    </row>
    <row r="17" spans="1:10" ht="24" customHeight="1" thickBot="1">
      <c r="A17" s="74" t="s">
        <v>17</v>
      </c>
      <c r="B17" s="74"/>
      <c r="C17" s="74"/>
      <c r="D17" s="39">
        <f>SUM(D8:D16)</f>
        <v>2481.6</v>
      </c>
      <c r="E17" s="32">
        <f>F17*1000/D17</f>
        <v>139.87437137330755</v>
      </c>
      <c r="F17" s="25">
        <f>SUM(F8:F16)</f>
        <v>347.11224</v>
      </c>
      <c r="J17" s="10"/>
    </row>
    <row r="18" spans="1:6" ht="12.75" thickBot="1">
      <c r="A18" s="75" t="s">
        <v>29</v>
      </c>
      <c r="B18" s="76"/>
      <c r="C18" s="17">
        <v>92</v>
      </c>
      <c r="D18" s="40">
        <f>C18*6</f>
        <v>552</v>
      </c>
      <c r="E18" s="33">
        <v>154.9</v>
      </c>
      <c r="F18" s="26">
        <f>(D18*E18)/1000</f>
        <v>85.5048</v>
      </c>
    </row>
    <row r="19" spans="1:6" ht="13.5" customHeight="1">
      <c r="A19" s="80" t="s">
        <v>10</v>
      </c>
      <c r="B19" s="80"/>
      <c r="C19" s="80"/>
      <c r="D19" s="41">
        <f>SUM(D17,D18)</f>
        <v>3033.6</v>
      </c>
      <c r="E19" s="34">
        <f>F19*1000/D19</f>
        <v>142.6084651898734</v>
      </c>
      <c r="F19" s="27">
        <f>SUM(F17,F18)</f>
        <v>432.61704</v>
      </c>
    </row>
    <row r="20" spans="1:6" ht="13.5" customHeight="1">
      <c r="A20" s="81" t="s">
        <v>50</v>
      </c>
      <c r="B20" s="81"/>
      <c r="C20" s="81"/>
      <c r="D20" s="41">
        <v>-9</v>
      </c>
      <c r="E20" s="34">
        <v>154.9</v>
      </c>
      <c r="F20" s="27">
        <f>D20*E20/1000</f>
        <v>-1.3941000000000001</v>
      </c>
    </row>
    <row r="21" spans="1:6" ht="24" customHeight="1">
      <c r="A21" s="82" t="s">
        <v>11</v>
      </c>
      <c r="B21" s="82"/>
      <c r="C21" s="82"/>
      <c r="D21" s="42">
        <f>D19+D20</f>
        <v>3024.6</v>
      </c>
      <c r="E21" s="20">
        <f>F21/D21*1000</f>
        <v>142.57189049791708</v>
      </c>
      <c r="F21" s="28">
        <f>F19+F20</f>
        <v>431.22294</v>
      </c>
    </row>
    <row r="22" spans="1:6" ht="13.5" customHeight="1">
      <c r="A22" s="81" t="s">
        <v>6</v>
      </c>
      <c r="B22" s="84"/>
      <c r="C22" s="19">
        <v>92</v>
      </c>
      <c r="D22" s="41">
        <f>-C22*6</f>
        <v>-552</v>
      </c>
      <c r="E22" s="34">
        <v>154.9</v>
      </c>
      <c r="F22" s="27">
        <f>D22*E22/1000</f>
        <v>-85.5048</v>
      </c>
    </row>
    <row r="23" spans="1:6" s="2" customFormat="1" ht="24" customHeight="1">
      <c r="A23" s="82" t="s">
        <v>12</v>
      </c>
      <c r="B23" s="82"/>
      <c r="C23" s="82"/>
      <c r="D23" s="42">
        <f>D21+D22</f>
        <v>2472.6</v>
      </c>
      <c r="E23" s="20">
        <f>F23/D23*1000</f>
        <v>139.8196796893958</v>
      </c>
      <c r="F23" s="28">
        <f>F21+F22</f>
        <v>345.71814</v>
      </c>
    </row>
    <row r="26" ht="12">
      <c r="F26" s="2"/>
    </row>
    <row r="27" spans="2:6" ht="12">
      <c r="B27" s="2" t="s">
        <v>23</v>
      </c>
      <c r="F27" s="2"/>
    </row>
    <row r="28" spans="2:6" ht="12">
      <c r="B28" s="5" t="s">
        <v>4</v>
      </c>
      <c r="C28" s="5" t="s">
        <v>5</v>
      </c>
      <c r="E28" s="3"/>
      <c r="F28" s="4"/>
    </row>
    <row r="29" spans="2:6" ht="12">
      <c r="B29" s="5">
        <v>2100</v>
      </c>
      <c r="C29" s="5">
        <v>137.8</v>
      </c>
      <c r="F29" s="3"/>
    </row>
    <row r="30" spans="2:6" ht="12">
      <c r="B30" s="5">
        <v>2700</v>
      </c>
      <c r="C30" s="5">
        <v>139.1</v>
      </c>
      <c r="F30" s="4"/>
    </row>
    <row r="31" spans="2:6" ht="12">
      <c r="B31" s="5">
        <v>3400</v>
      </c>
      <c r="C31" s="5">
        <v>142.3</v>
      </c>
      <c r="F31" s="4"/>
    </row>
    <row r="32" spans="2:6" ht="12">
      <c r="B32" s="5">
        <v>3400</v>
      </c>
      <c r="C32" s="5">
        <v>148.1</v>
      </c>
      <c r="F32" s="4"/>
    </row>
    <row r="33" spans="2:3" ht="12">
      <c r="B33" s="5">
        <v>2100</v>
      </c>
      <c r="C33" s="5">
        <v>148.1</v>
      </c>
    </row>
    <row r="34" spans="2:3" ht="12">
      <c r="B34" s="5">
        <v>2100</v>
      </c>
      <c r="C34" s="5">
        <v>137.8</v>
      </c>
    </row>
    <row r="37" spans="4:5" ht="12">
      <c r="D37" s="5"/>
      <c r="E37" s="5"/>
    </row>
    <row r="49" spans="1:7" ht="12.75" customHeight="1">
      <c r="A49" s="83" t="s">
        <v>22</v>
      </c>
      <c r="B49" s="83"/>
      <c r="C49" s="83"/>
      <c r="D49" s="83"/>
      <c r="E49" s="83"/>
      <c r="F49" s="83"/>
      <c r="G49" s="14"/>
    </row>
    <row r="50" spans="1:6" ht="12">
      <c r="A50" s="83"/>
      <c r="B50" s="83"/>
      <c r="C50" s="83"/>
      <c r="D50" s="83"/>
      <c r="E50" s="83"/>
      <c r="F50" s="83"/>
    </row>
    <row r="51" spans="1:6" ht="12">
      <c r="A51" s="83"/>
      <c r="B51" s="83"/>
      <c r="C51" s="83"/>
      <c r="D51" s="83"/>
      <c r="E51" s="83"/>
      <c r="F51" s="83"/>
    </row>
    <row r="52" ht="12">
      <c r="F52" s="54" t="s">
        <v>66</v>
      </c>
    </row>
  </sheetData>
  <sheetProtection sheet="1" objects="1" scenarios="1" selectLockedCells="1"/>
  <mergeCells count="23">
    <mergeCell ref="A21:C21"/>
    <mergeCell ref="A22:B22"/>
    <mergeCell ref="A23:C23"/>
    <mergeCell ref="A49:F51"/>
    <mergeCell ref="B15:C15"/>
    <mergeCell ref="A16:B16"/>
    <mergeCell ref="A17:C17"/>
    <mergeCell ref="A18:B18"/>
    <mergeCell ref="A19:C19"/>
    <mergeCell ref="A20:C20"/>
    <mergeCell ref="A8:C8"/>
    <mergeCell ref="A9:C9"/>
    <mergeCell ref="A10:C10"/>
    <mergeCell ref="A11:C11"/>
    <mergeCell ref="A12:C12"/>
    <mergeCell ref="A14:C14"/>
    <mergeCell ref="A1:F1"/>
    <mergeCell ref="F3:F4"/>
    <mergeCell ref="A6:B7"/>
    <mergeCell ref="C6:C7"/>
    <mergeCell ref="D6:D7"/>
    <mergeCell ref="E6:E7"/>
    <mergeCell ref="F6:F7"/>
  </mergeCells>
  <conditionalFormatting sqref="D21">
    <cfRule type="cellIs" priority="1" dxfId="22" operator="greaterThan" stopIfTrue="1">
      <formula>3400</formula>
    </cfRule>
  </conditionalFormatting>
  <conditionalFormatting sqref="D23">
    <cfRule type="cellIs" priority="2" dxfId="22" operator="greaterThan" stopIfTrue="1">
      <formula>3400</formula>
    </cfRule>
  </conditionalFormatting>
  <dataValidations count="4">
    <dataValidation type="list" allowBlank="1" showInputMessage="1" showErrorMessage="1" sqref="B15:C15">
      <formula1>'N86MJ'!$J$6:$J$11</formula1>
    </dataValidation>
    <dataValidation type="decimal" operator="lessThanOrEqual" allowBlank="1" showInputMessage="1" showErrorMessage="1" promptTitle="Maximum Anti-Ice Fluid" prompt="FIKI - 8 Gallons&#10;No-Hazard - 3.5 Gallons" errorTitle="Anti-Ice Fluid" error="Maximum fluid level is 8 gallons" sqref="C16">
      <formula1>8</formula1>
    </dataValidation>
    <dataValidation type="whole" operator="lessThanOrEqual" allowBlank="1" showInputMessage="1" showErrorMessage="1" errorTitle="Fuel Load" error="Maximum fuel load is 92 usable gallons" sqref="C18">
      <formula1>92</formula1>
    </dataValidation>
    <dataValidation type="whole" operator="lessThanOrEqual" allowBlank="1" showInputMessage="1" showErrorMessage="1" errorTitle="Baggage" error="Maximum weight in baggage compartment is 130 pounds" sqref="D14">
      <formula1>130</formula1>
    </dataValidation>
  </dataValidations>
  <printOptions horizontalCentered="1" verticalCentered="1"/>
  <pageMargins left="0.5" right="0.5" top="0.5" bottom="0.5" header="0" footer="0"/>
  <pageSetup fitToHeight="1" fitToWidth="1" horizontalDpi="600" verticalDpi="600" orientation="portrait"/>
  <headerFooter alignWithMargins="0">
    <oddFooter>&amp;L&amp;"Lucida Grande,Regular"&amp;K000000&amp;A Weight and Balance Form&amp;R&amp;"Lucida Grande,Regular"&amp;K000000Printed on &amp;D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51"/>
  <sheetViews>
    <sheetView workbookViewId="0" topLeftCell="A1">
      <selection activeCell="C21" sqref="C21"/>
    </sheetView>
  </sheetViews>
  <sheetFormatPr defaultColWidth="9.140625" defaultRowHeight="12.75"/>
  <cols>
    <col min="1" max="1" width="20.00390625" style="1" customWidth="1"/>
    <col min="2" max="2" width="6.00390625" style="1" customWidth="1"/>
    <col min="3" max="3" width="8.8515625" style="1" customWidth="1"/>
    <col min="4" max="5" width="12.7109375" style="1" customWidth="1"/>
    <col min="6" max="6" width="12.8515625" style="1" customWidth="1"/>
    <col min="7" max="7" width="10.7109375" style="1" customWidth="1"/>
    <col min="8" max="8" width="10.28125" style="1" customWidth="1"/>
    <col min="9" max="9" width="9.140625" style="1" customWidth="1"/>
    <col min="10" max="10" width="13.28125" style="1" hidden="1" customWidth="1"/>
    <col min="11" max="11" width="9.140625" style="1" hidden="1" customWidth="1"/>
    <col min="12" max="16384" width="9.140625" style="1" customWidth="1"/>
  </cols>
  <sheetData>
    <row r="1" spans="1:7" ht="16.5" customHeight="1">
      <c r="A1" s="66" t="s">
        <v>16</v>
      </c>
      <c r="B1" s="66"/>
      <c r="C1" s="66"/>
      <c r="D1" s="66"/>
      <c r="E1" s="66"/>
      <c r="F1" s="66"/>
      <c r="G1" s="13"/>
    </row>
    <row r="2" spans="1:7" ht="16.5" customHeight="1">
      <c r="A2" s="6"/>
      <c r="B2" s="6"/>
      <c r="C2" s="7"/>
      <c r="D2" s="6"/>
      <c r="F2" s="11"/>
      <c r="G2" s="11"/>
    </row>
    <row r="3" spans="1:7" ht="16.5" customHeight="1">
      <c r="A3" s="6"/>
      <c r="B3" s="6"/>
      <c r="C3" s="16" t="s">
        <v>8</v>
      </c>
      <c r="D3" s="60" t="s">
        <v>68</v>
      </c>
      <c r="F3" s="70" t="s">
        <v>27</v>
      </c>
      <c r="G3" s="11"/>
    </row>
    <row r="4" spans="1:7" ht="16.5" customHeight="1">
      <c r="A4" s="6"/>
      <c r="B4" s="6"/>
      <c r="C4" s="16" t="s">
        <v>26</v>
      </c>
      <c r="D4" s="43" t="s">
        <v>30</v>
      </c>
      <c r="F4" s="70"/>
      <c r="G4" s="11"/>
    </row>
    <row r="5" spans="5:10" ht="12.75" customHeight="1">
      <c r="E5" s="11"/>
      <c r="F5" s="11"/>
      <c r="G5" s="11"/>
      <c r="J5" s="2" t="s">
        <v>21</v>
      </c>
    </row>
    <row r="6" spans="1:11" ht="12.75" customHeight="1">
      <c r="A6" s="67" t="s">
        <v>0</v>
      </c>
      <c r="B6" s="67"/>
      <c r="C6" s="67" t="s">
        <v>20</v>
      </c>
      <c r="D6" s="69" t="s">
        <v>13</v>
      </c>
      <c r="E6" s="69" t="s">
        <v>14</v>
      </c>
      <c r="F6" s="69" t="s">
        <v>15</v>
      </c>
      <c r="G6" s="8"/>
      <c r="J6" s="9" t="s">
        <v>35</v>
      </c>
      <c r="K6" s="1">
        <v>6.4</v>
      </c>
    </row>
    <row r="7" spans="1:11" ht="12.75" thickBot="1">
      <c r="A7" s="68"/>
      <c r="B7" s="68"/>
      <c r="C7" s="68"/>
      <c r="D7" s="68"/>
      <c r="E7" s="68"/>
      <c r="F7" s="68"/>
      <c r="J7" s="9" t="s">
        <v>36</v>
      </c>
      <c r="K7" s="1">
        <v>5.7</v>
      </c>
    </row>
    <row r="8" spans="1:11" ht="12">
      <c r="A8" s="77" t="s">
        <v>28</v>
      </c>
      <c r="B8" s="78"/>
      <c r="C8" s="79"/>
      <c r="D8" s="62">
        <v>2326.3</v>
      </c>
      <c r="E8" s="61">
        <f>F8/D8*1000</f>
        <v>138.84465460172808</v>
      </c>
      <c r="F8" s="63">
        <v>322.99432</v>
      </c>
      <c r="J8" s="9" t="s">
        <v>37</v>
      </c>
      <c r="K8" s="1">
        <v>4.3</v>
      </c>
    </row>
    <row r="9" spans="1:11" ht="12">
      <c r="A9" s="71" t="s">
        <v>3</v>
      </c>
      <c r="B9" s="72"/>
      <c r="C9" s="73"/>
      <c r="D9" s="36"/>
      <c r="E9" s="30">
        <v>143.5</v>
      </c>
      <c r="F9" s="23">
        <f aca="true" t="shared" si="0" ref="F9:F15">(D9*E9)/1000</f>
        <v>0</v>
      </c>
      <c r="J9" s="10" t="s">
        <v>38</v>
      </c>
      <c r="K9" s="1">
        <v>2.8</v>
      </c>
    </row>
    <row r="10" spans="1:11" ht="12">
      <c r="A10" s="71" t="s">
        <v>9</v>
      </c>
      <c r="B10" s="72"/>
      <c r="C10" s="73"/>
      <c r="D10" s="36"/>
      <c r="E10" s="30">
        <v>143.5</v>
      </c>
      <c r="F10" s="23">
        <f t="shared" si="0"/>
        <v>0</v>
      </c>
      <c r="J10" s="10" t="s">
        <v>39</v>
      </c>
      <c r="K10" s="1">
        <v>1.4</v>
      </c>
    </row>
    <row r="11" spans="1:11" ht="12">
      <c r="A11" s="71" t="s">
        <v>18</v>
      </c>
      <c r="B11" s="72"/>
      <c r="C11" s="73"/>
      <c r="D11" s="36"/>
      <c r="E11" s="30">
        <v>180</v>
      </c>
      <c r="F11" s="23">
        <f t="shared" si="0"/>
        <v>0</v>
      </c>
      <c r="J11" s="9" t="s">
        <v>40</v>
      </c>
      <c r="K11" s="1">
        <v>0</v>
      </c>
    </row>
    <row r="12" spans="1:6" ht="12">
      <c r="A12" s="71" t="s">
        <v>19</v>
      </c>
      <c r="B12" s="72"/>
      <c r="C12" s="73"/>
      <c r="D12" s="36"/>
      <c r="E12" s="30">
        <v>180</v>
      </c>
      <c r="F12" s="23">
        <f t="shared" si="0"/>
        <v>0</v>
      </c>
    </row>
    <row r="13" spans="1:6" ht="12">
      <c r="A13" s="71" t="s">
        <v>25</v>
      </c>
      <c r="B13" s="72"/>
      <c r="C13" s="73"/>
      <c r="D13" s="36"/>
      <c r="E13" s="30">
        <v>208</v>
      </c>
      <c r="F13" s="23">
        <f t="shared" si="0"/>
        <v>0</v>
      </c>
    </row>
    <row r="14" spans="1:6" ht="13.5" customHeight="1" hidden="1">
      <c r="A14" s="12" t="s">
        <v>21</v>
      </c>
      <c r="B14" s="85" t="s">
        <v>40</v>
      </c>
      <c r="C14" s="86"/>
      <c r="D14" s="37">
        <f>VLOOKUP(B14,J6:K16,2,FALSE)</f>
        <v>0</v>
      </c>
      <c r="E14" s="30">
        <v>273.5</v>
      </c>
      <c r="F14" s="23">
        <f t="shared" si="0"/>
        <v>0</v>
      </c>
    </row>
    <row r="15" spans="1:6" ht="12.75" thickBot="1">
      <c r="A15" s="87" t="s">
        <v>31</v>
      </c>
      <c r="B15" s="88"/>
      <c r="C15" s="18">
        <v>2.9</v>
      </c>
      <c r="D15" s="38">
        <f>C15*9.2</f>
        <v>26.679999999999996</v>
      </c>
      <c r="E15" s="31">
        <v>181</v>
      </c>
      <c r="F15" s="24">
        <f t="shared" si="0"/>
        <v>4.829079999999999</v>
      </c>
    </row>
    <row r="16" spans="1:10" ht="24" customHeight="1" thickBot="1">
      <c r="A16" s="74" t="s">
        <v>17</v>
      </c>
      <c r="B16" s="74"/>
      <c r="C16" s="74"/>
      <c r="D16" s="39">
        <f>SUM(D8:D15)</f>
        <v>2352.98</v>
      </c>
      <c r="E16" s="32">
        <f>F16*1000/D16</f>
        <v>139.32264617633808</v>
      </c>
      <c r="F16" s="25">
        <f>SUM(F8:F15)</f>
        <v>327.8234</v>
      </c>
      <c r="J16" s="10"/>
    </row>
    <row r="17" spans="1:6" ht="12.75" thickBot="1">
      <c r="A17" s="75" t="s">
        <v>29</v>
      </c>
      <c r="B17" s="76"/>
      <c r="C17" s="17">
        <v>81</v>
      </c>
      <c r="D17" s="40">
        <f>C17*6</f>
        <v>486</v>
      </c>
      <c r="E17" s="33">
        <v>154.9</v>
      </c>
      <c r="F17" s="26">
        <f>(D17*E17)/1000</f>
        <v>75.2814</v>
      </c>
    </row>
    <row r="18" spans="1:6" ht="13.5" customHeight="1">
      <c r="A18" s="80" t="s">
        <v>10</v>
      </c>
      <c r="B18" s="80"/>
      <c r="C18" s="80"/>
      <c r="D18" s="41">
        <f>SUM(D16,D17)</f>
        <v>2838.98</v>
      </c>
      <c r="E18" s="34">
        <f>F18*1000/D18</f>
        <v>141.9893060183587</v>
      </c>
      <c r="F18" s="27">
        <f>SUM(F16,F17)</f>
        <v>403.1048</v>
      </c>
    </row>
    <row r="19" spans="1:6" ht="13.5" customHeight="1">
      <c r="A19" s="81" t="s">
        <v>50</v>
      </c>
      <c r="B19" s="81"/>
      <c r="C19" s="81"/>
      <c r="D19" s="41">
        <v>-9</v>
      </c>
      <c r="E19" s="34">
        <v>154.9</v>
      </c>
      <c r="F19" s="27">
        <f>D19*E19/1000</f>
        <v>-1.3941000000000001</v>
      </c>
    </row>
    <row r="20" spans="1:6" ht="24" customHeight="1">
      <c r="A20" s="82" t="s">
        <v>11</v>
      </c>
      <c r="B20" s="82"/>
      <c r="C20" s="82"/>
      <c r="D20" s="42">
        <f>D18+D19</f>
        <v>2829.98</v>
      </c>
      <c r="E20" s="20">
        <f>F20/D20*1000</f>
        <v>141.94824698407763</v>
      </c>
      <c r="F20" s="28">
        <f>F18+F19</f>
        <v>401.71070000000003</v>
      </c>
    </row>
    <row r="21" spans="1:6" ht="13.5" customHeight="1">
      <c r="A21" s="81" t="s">
        <v>6</v>
      </c>
      <c r="B21" s="84"/>
      <c r="C21" s="19">
        <v>81</v>
      </c>
      <c r="D21" s="41">
        <f>-C21*6</f>
        <v>-486</v>
      </c>
      <c r="E21" s="34">
        <v>154.9</v>
      </c>
      <c r="F21" s="27">
        <f>D21*E21/1000</f>
        <v>-75.2814</v>
      </c>
    </row>
    <row r="22" spans="1:6" s="2" customFormat="1" ht="24" customHeight="1">
      <c r="A22" s="82" t="s">
        <v>12</v>
      </c>
      <c r="B22" s="82"/>
      <c r="C22" s="82"/>
      <c r="D22" s="42">
        <f>D20+D21</f>
        <v>2343.98</v>
      </c>
      <c r="E22" s="20">
        <f>F22/D22*1000</f>
        <v>139.26283500712464</v>
      </c>
      <c r="F22" s="28">
        <f>F20+F21</f>
        <v>326.4293</v>
      </c>
    </row>
    <row r="25" ht="12">
      <c r="F25" s="2"/>
    </row>
    <row r="26" spans="2:6" ht="12">
      <c r="B26" s="2" t="s">
        <v>23</v>
      </c>
      <c r="D26" s="2" t="s">
        <v>32</v>
      </c>
      <c r="F26" s="2"/>
    </row>
    <row r="27" spans="2:6" ht="12">
      <c r="B27" s="5" t="s">
        <v>1</v>
      </c>
      <c r="C27" s="5" t="s">
        <v>2</v>
      </c>
      <c r="D27" s="1" t="s">
        <v>1</v>
      </c>
      <c r="E27" s="1" t="s">
        <v>2</v>
      </c>
      <c r="F27" s="4"/>
    </row>
    <row r="28" spans="2:6" ht="12">
      <c r="B28" s="5">
        <v>2100</v>
      </c>
      <c r="C28" s="5">
        <v>137.8</v>
      </c>
      <c r="D28" s="1">
        <v>3210</v>
      </c>
      <c r="E28" s="4">
        <v>141.4</v>
      </c>
      <c r="F28" s="3"/>
    </row>
    <row r="29" spans="2:6" ht="12">
      <c r="B29" s="5">
        <v>2700</v>
      </c>
      <c r="C29" s="5">
        <v>139.1</v>
      </c>
      <c r="D29" s="1">
        <v>3400</v>
      </c>
      <c r="E29" s="1">
        <v>142.6</v>
      </c>
      <c r="F29" s="4"/>
    </row>
    <row r="30" spans="2:6" ht="12">
      <c r="B30" s="5">
        <v>3400</v>
      </c>
      <c r="C30" s="5">
        <v>142.3</v>
      </c>
      <c r="D30" s="1">
        <v>3400</v>
      </c>
      <c r="E30" s="1">
        <v>142.3</v>
      </c>
      <c r="F30" s="4"/>
    </row>
    <row r="31" spans="2:6" ht="12">
      <c r="B31" s="5">
        <v>3400</v>
      </c>
      <c r="C31" s="5">
        <v>148.1</v>
      </c>
      <c r="D31" s="1">
        <v>3210</v>
      </c>
      <c r="E31" s="1">
        <v>141.4</v>
      </c>
      <c r="F31" s="4"/>
    </row>
    <row r="32" spans="2:3" ht="12">
      <c r="B32" s="5">
        <v>2100</v>
      </c>
      <c r="C32" s="5">
        <v>148.1</v>
      </c>
    </row>
    <row r="33" spans="2:3" ht="12">
      <c r="B33" s="5">
        <v>2100</v>
      </c>
      <c r="C33" s="5">
        <v>137.8</v>
      </c>
    </row>
    <row r="36" spans="4:5" ht="12">
      <c r="D36" s="5"/>
      <c r="E36" s="5"/>
    </row>
    <row r="48" spans="1:7" ht="12.75" customHeight="1">
      <c r="A48" s="83" t="s">
        <v>22</v>
      </c>
      <c r="B48" s="83"/>
      <c r="C48" s="83"/>
      <c r="D48" s="83"/>
      <c r="E48" s="83"/>
      <c r="F48" s="83"/>
      <c r="G48" s="14"/>
    </row>
    <row r="49" spans="1:6" ht="12">
      <c r="A49" s="83"/>
      <c r="B49" s="83"/>
      <c r="C49" s="83"/>
      <c r="D49" s="83"/>
      <c r="E49" s="83"/>
      <c r="F49" s="83"/>
    </row>
    <row r="50" spans="1:6" ht="12">
      <c r="A50" s="83"/>
      <c r="B50" s="83"/>
      <c r="C50" s="83"/>
      <c r="D50" s="83"/>
      <c r="E50" s="83"/>
      <c r="F50" s="83"/>
    </row>
    <row r="51" ht="12">
      <c r="F51" s="54" t="s">
        <v>66</v>
      </c>
    </row>
  </sheetData>
  <sheetProtection sheet="1" objects="1" scenarios="1" selectLockedCells="1"/>
  <mergeCells count="23">
    <mergeCell ref="A20:C20"/>
    <mergeCell ref="A21:B21"/>
    <mergeCell ref="A22:C22"/>
    <mergeCell ref="A48:F50"/>
    <mergeCell ref="B14:C14"/>
    <mergeCell ref="A15:B15"/>
    <mergeCell ref="A16:C16"/>
    <mergeCell ref="A17:B17"/>
    <mergeCell ref="A18:C18"/>
    <mergeCell ref="A19:C19"/>
    <mergeCell ref="A8:C8"/>
    <mergeCell ref="A9:C9"/>
    <mergeCell ref="A10:C10"/>
    <mergeCell ref="A11:C11"/>
    <mergeCell ref="A12:C12"/>
    <mergeCell ref="A13:C13"/>
    <mergeCell ref="A1:F1"/>
    <mergeCell ref="F3:F4"/>
    <mergeCell ref="A6:B7"/>
    <mergeCell ref="C6:C7"/>
    <mergeCell ref="D6:D7"/>
    <mergeCell ref="E6:E7"/>
    <mergeCell ref="F6:F7"/>
  </mergeCells>
  <conditionalFormatting sqref="D20">
    <cfRule type="cellIs" priority="1" dxfId="22" operator="greaterThan" stopIfTrue="1">
      <formula>3400</formula>
    </cfRule>
  </conditionalFormatting>
  <conditionalFormatting sqref="D22">
    <cfRule type="cellIs" priority="2" dxfId="22" operator="greaterThan" stopIfTrue="1">
      <formula>3400</formula>
    </cfRule>
  </conditionalFormatting>
  <dataValidations count="4">
    <dataValidation type="list" allowBlank="1" showInputMessage="1" showErrorMessage="1" sqref="B14:C14">
      <formula1>'N443AP'!$J$6:$J$11</formula1>
    </dataValidation>
    <dataValidation type="decimal" operator="lessThanOrEqual" allowBlank="1" showInputMessage="1" showErrorMessage="1" promptTitle="Maximum Anti-Ice Fluid" prompt="Maximum Fluid - 2.9 Gallons" errorTitle="Anti-Ice Fluid" error="Maximum fluid level is 2.9 gallons" sqref="C15">
      <formula1>2.9</formula1>
    </dataValidation>
    <dataValidation type="whole" operator="lessThanOrEqual" allowBlank="1" showInputMessage="1" showErrorMessage="1" errorTitle="Fuel Load" error="Maximum fuel load is 81 usable gallons" sqref="C17">
      <formula1>81</formula1>
    </dataValidation>
    <dataValidation type="whole" operator="lessThanOrEqual" allowBlank="1" showInputMessage="1" showErrorMessage="1" errorTitle="Baggage" error="Maximum weight in baggage compartment is 130 pounds" sqref="D13">
      <formula1>130</formula1>
    </dataValidation>
  </dataValidations>
  <printOptions horizontalCentered="1" verticalCentered="1"/>
  <pageMargins left="0.5" right="0.5" top="0.5" bottom="0.5" header="0" footer="0"/>
  <pageSetup fitToHeight="1" fitToWidth="1" horizontalDpi="600" verticalDpi="600" orientation="portrait"/>
  <headerFooter alignWithMargins="0">
    <oddFooter>&amp;L&amp;"Lucida Grande,Regular"&amp;K000000&amp;A Weight and Balance Form&amp;R&amp;"Lucida Grande,Regular"&amp;K000000Printed on &amp;D &amp;T</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K52"/>
  <sheetViews>
    <sheetView zoomScale="125" zoomScaleNormal="125" workbookViewId="0" topLeftCell="A1">
      <selection activeCell="D13" sqref="D13"/>
    </sheetView>
  </sheetViews>
  <sheetFormatPr defaultColWidth="9.140625" defaultRowHeight="12.75"/>
  <cols>
    <col min="1" max="1" width="20.00390625" style="1" customWidth="1"/>
    <col min="2" max="2" width="6.00390625" style="1" customWidth="1"/>
    <col min="3" max="3" width="8.8515625" style="1" customWidth="1"/>
    <col min="4" max="5" width="12.7109375" style="1" customWidth="1"/>
    <col min="6" max="6" width="12.8515625" style="1" customWidth="1"/>
    <col min="7" max="7" width="10.7109375" style="1" customWidth="1"/>
    <col min="8" max="8" width="10.28125" style="1" customWidth="1"/>
    <col min="9" max="9" width="9.140625" style="1" customWidth="1"/>
    <col min="10" max="10" width="13.28125" style="1" hidden="1" customWidth="1"/>
    <col min="11" max="11" width="9.140625" style="1" hidden="1" customWidth="1"/>
    <col min="12" max="16384" width="9.140625" style="1" customWidth="1"/>
  </cols>
  <sheetData>
    <row r="1" spans="1:7" ht="18">
      <c r="A1" s="66" t="s">
        <v>16</v>
      </c>
      <c r="B1" s="66"/>
      <c r="C1" s="66"/>
      <c r="D1" s="66"/>
      <c r="E1" s="66"/>
      <c r="F1" s="66"/>
      <c r="G1" s="13"/>
    </row>
    <row r="2" spans="1:7" ht="16.5" customHeight="1">
      <c r="A2" s="6"/>
      <c r="B2" s="6"/>
      <c r="C2" s="7"/>
      <c r="D2" s="6"/>
      <c r="F2" s="11"/>
      <c r="G2" s="11"/>
    </row>
    <row r="3" spans="1:7" ht="16.5" customHeight="1">
      <c r="A3" s="6"/>
      <c r="B3" s="6"/>
      <c r="C3" s="16" t="s">
        <v>8</v>
      </c>
      <c r="D3" s="21"/>
      <c r="F3" s="70" t="s">
        <v>27</v>
      </c>
      <c r="G3" s="11"/>
    </row>
    <row r="4" spans="1:7" ht="16.5" customHeight="1">
      <c r="A4" s="6"/>
      <c r="B4" s="6"/>
      <c r="C4" s="16" t="s">
        <v>26</v>
      </c>
      <c r="D4" s="15" t="s">
        <v>60</v>
      </c>
      <c r="F4" s="70"/>
      <c r="G4" s="11"/>
    </row>
    <row r="5" spans="5:10" ht="12.75" customHeight="1">
      <c r="E5" s="11"/>
      <c r="F5" s="11"/>
      <c r="G5" s="11"/>
      <c r="J5" s="2" t="s">
        <v>21</v>
      </c>
    </row>
    <row r="6" spans="1:11" ht="12.75" customHeight="1">
      <c r="A6" s="67" t="s">
        <v>0</v>
      </c>
      <c r="B6" s="67"/>
      <c r="C6" s="67" t="s">
        <v>20</v>
      </c>
      <c r="D6" s="69" t="s">
        <v>13</v>
      </c>
      <c r="E6" s="69" t="s">
        <v>14</v>
      </c>
      <c r="F6" s="69" t="s">
        <v>15</v>
      </c>
      <c r="G6" s="8"/>
      <c r="J6" s="9" t="s">
        <v>35</v>
      </c>
      <c r="K6" s="1">
        <v>6.4</v>
      </c>
    </row>
    <row r="7" spans="1:11" ht="12.75" thickBot="1">
      <c r="A7" s="68"/>
      <c r="B7" s="68"/>
      <c r="C7" s="68"/>
      <c r="D7" s="68"/>
      <c r="E7" s="68"/>
      <c r="F7" s="68"/>
      <c r="J7" s="9" t="s">
        <v>36</v>
      </c>
      <c r="K7" s="1">
        <v>5.7</v>
      </c>
    </row>
    <row r="8" spans="1:11" ht="12">
      <c r="A8" s="77" t="s">
        <v>28</v>
      </c>
      <c r="B8" s="78"/>
      <c r="C8" s="79"/>
      <c r="D8" s="35">
        <v>2456</v>
      </c>
      <c r="E8" s="29">
        <f>F8/D8*1000</f>
        <v>139.78298045602608</v>
      </c>
      <c r="F8" s="22">
        <v>343.307</v>
      </c>
      <c r="J8" s="9" t="s">
        <v>37</v>
      </c>
      <c r="K8" s="1">
        <v>4.3</v>
      </c>
    </row>
    <row r="9" spans="1:11" ht="12">
      <c r="A9" s="71" t="s">
        <v>3</v>
      </c>
      <c r="B9" s="72"/>
      <c r="C9" s="73"/>
      <c r="D9" s="36"/>
      <c r="E9" s="30">
        <v>143.5</v>
      </c>
      <c r="F9" s="23">
        <f aca="true" t="shared" si="0" ref="F9:F16">(D9*E9)/1000</f>
        <v>0</v>
      </c>
      <c r="J9" s="10" t="s">
        <v>38</v>
      </c>
      <c r="K9" s="1">
        <v>2.8</v>
      </c>
    </row>
    <row r="10" spans="1:11" ht="12">
      <c r="A10" s="71" t="s">
        <v>9</v>
      </c>
      <c r="B10" s="72"/>
      <c r="C10" s="73"/>
      <c r="D10" s="36"/>
      <c r="E10" s="30">
        <v>143.5</v>
      </c>
      <c r="F10" s="23">
        <f t="shared" si="0"/>
        <v>0</v>
      </c>
      <c r="J10" s="10" t="s">
        <v>39</v>
      </c>
      <c r="K10" s="1">
        <v>1.4</v>
      </c>
    </row>
    <row r="11" spans="1:11" ht="12">
      <c r="A11" s="71" t="s">
        <v>18</v>
      </c>
      <c r="B11" s="72"/>
      <c r="C11" s="73"/>
      <c r="D11" s="36"/>
      <c r="E11" s="30">
        <v>180</v>
      </c>
      <c r="F11" s="23">
        <f t="shared" si="0"/>
        <v>0</v>
      </c>
      <c r="J11" s="9" t="s">
        <v>40</v>
      </c>
      <c r="K11" s="1">
        <v>0</v>
      </c>
    </row>
    <row r="12" spans="1:10" ht="12">
      <c r="A12" s="51" t="s">
        <v>19</v>
      </c>
      <c r="B12" s="52"/>
      <c r="C12" s="53"/>
      <c r="D12" s="36"/>
      <c r="E12" s="30">
        <v>180</v>
      </c>
      <c r="F12" s="23">
        <f>(D12*E12)/1000</f>
        <v>0</v>
      </c>
      <c r="J12" s="9"/>
    </row>
    <row r="13" spans="1:6" ht="12">
      <c r="A13" s="71" t="s">
        <v>55</v>
      </c>
      <c r="B13" s="72"/>
      <c r="C13" s="73"/>
      <c r="D13" s="36"/>
      <c r="E13" s="30">
        <v>180</v>
      </c>
      <c r="F13" s="23">
        <f t="shared" si="0"/>
        <v>0</v>
      </c>
    </row>
    <row r="14" spans="1:6" ht="12">
      <c r="A14" s="71" t="s">
        <v>61</v>
      </c>
      <c r="B14" s="72"/>
      <c r="C14" s="73"/>
      <c r="D14" s="36"/>
      <c r="E14" s="30">
        <v>208</v>
      </c>
      <c r="F14" s="23">
        <f t="shared" si="0"/>
        <v>0</v>
      </c>
    </row>
    <row r="15" spans="1:6" ht="13.5" customHeight="1">
      <c r="A15" s="12" t="s">
        <v>21</v>
      </c>
      <c r="B15" s="85" t="s">
        <v>35</v>
      </c>
      <c r="C15" s="86"/>
      <c r="D15" s="37">
        <f>VLOOKUP(B15,J6:K17,2,FALSE)</f>
        <v>6.4</v>
      </c>
      <c r="E15" s="30">
        <v>273.5</v>
      </c>
      <c r="F15" s="23">
        <f t="shared" si="0"/>
        <v>1.7504000000000002</v>
      </c>
    </row>
    <row r="16" spans="1:6" ht="12.75" thickBot="1">
      <c r="A16" s="87" t="s">
        <v>31</v>
      </c>
      <c r="B16" s="88"/>
      <c r="C16" s="18">
        <v>8</v>
      </c>
      <c r="D16" s="38">
        <f>C16*9.2</f>
        <v>73.6</v>
      </c>
      <c r="E16" s="31">
        <v>148.4</v>
      </c>
      <c r="F16" s="24">
        <f t="shared" si="0"/>
        <v>10.92224</v>
      </c>
    </row>
    <row r="17" spans="1:10" ht="24" customHeight="1" thickBot="1">
      <c r="A17" s="74" t="s">
        <v>58</v>
      </c>
      <c r="B17" s="74"/>
      <c r="C17" s="74"/>
      <c r="D17" s="55">
        <f>SUM(D8:D16)</f>
        <v>2536</v>
      </c>
      <c r="E17" s="32">
        <f>F17*1000/D17</f>
        <v>140.37052050473187</v>
      </c>
      <c r="F17" s="25">
        <f>SUM(F8:F16)</f>
        <v>355.97964</v>
      </c>
      <c r="J17" s="10"/>
    </row>
    <row r="18" spans="1:6" ht="12.75" thickBot="1">
      <c r="A18" s="75" t="s">
        <v>29</v>
      </c>
      <c r="B18" s="76"/>
      <c r="C18" s="17">
        <v>92</v>
      </c>
      <c r="D18" s="40">
        <f>C18*6</f>
        <v>552</v>
      </c>
      <c r="E18" s="33">
        <v>154.9</v>
      </c>
      <c r="F18" s="26">
        <f>(D18*E18)/1000</f>
        <v>85.5048</v>
      </c>
    </row>
    <row r="19" spans="1:6" ht="13.5" customHeight="1">
      <c r="A19" s="80" t="s">
        <v>10</v>
      </c>
      <c r="B19" s="80"/>
      <c r="C19" s="80"/>
      <c r="D19" s="41">
        <f>SUM(D17,D18)</f>
        <v>3088</v>
      </c>
      <c r="E19" s="34">
        <f>F19*1000/D19</f>
        <v>142.96775906735752</v>
      </c>
      <c r="F19" s="27">
        <f>SUM(F17,F18)</f>
        <v>441.48444</v>
      </c>
    </row>
    <row r="20" spans="1:6" ht="13.5" customHeight="1">
      <c r="A20" s="81" t="s">
        <v>50</v>
      </c>
      <c r="B20" s="81"/>
      <c r="C20" s="81"/>
      <c r="D20" s="41">
        <v>-9</v>
      </c>
      <c r="E20" s="34">
        <v>154.9</v>
      </c>
      <c r="F20" s="27">
        <f>D20*E20/1000</f>
        <v>-1.3941000000000001</v>
      </c>
    </row>
    <row r="21" spans="1:6" ht="24" customHeight="1">
      <c r="A21" s="82" t="s">
        <v>11</v>
      </c>
      <c r="B21" s="82"/>
      <c r="C21" s="82"/>
      <c r="D21" s="42">
        <f>D19+D20</f>
        <v>3079</v>
      </c>
      <c r="E21" s="20">
        <f>F21/D21*1000</f>
        <v>142.93288080545634</v>
      </c>
      <c r="F21" s="28">
        <f>F19+F20</f>
        <v>440.09034</v>
      </c>
    </row>
    <row r="22" spans="1:6" ht="13.5" customHeight="1">
      <c r="A22" s="81" t="s">
        <v>6</v>
      </c>
      <c r="B22" s="84"/>
      <c r="C22" s="19">
        <v>80</v>
      </c>
      <c r="D22" s="41">
        <f>-C22*6</f>
        <v>-480</v>
      </c>
      <c r="E22" s="34">
        <v>154.9</v>
      </c>
      <c r="F22" s="27">
        <f>D22*E22/1000</f>
        <v>-74.352</v>
      </c>
    </row>
    <row r="23" spans="1:6" s="2" customFormat="1" ht="24" customHeight="1">
      <c r="A23" s="82" t="s">
        <v>12</v>
      </c>
      <c r="B23" s="82"/>
      <c r="C23" s="82"/>
      <c r="D23" s="42">
        <f>D21+D22</f>
        <v>2599</v>
      </c>
      <c r="E23" s="20">
        <f>F23/D23*1000</f>
        <v>140.72271642939592</v>
      </c>
      <c r="F23" s="28">
        <f>F21+F22</f>
        <v>365.73834</v>
      </c>
    </row>
    <row r="26" ht="12">
      <c r="F26" s="2"/>
    </row>
    <row r="27" spans="2:6" ht="12">
      <c r="B27" s="2" t="s">
        <v>23</v>
      </c>
      <c r="E27" s="1" t="s">
        <v>59</v>
      </c>
      <c r="F27" s="2"/>
    </row>
    <row r="28" spans="2:6" ht="12">
      <c r="B28" s="5" t="s">
        <v>4</v>
      </c>
      <c r="C28" s="5" t="s">
        <v>5</v>
      </c>
      <c r="E28" s="3"/>
      <c r="F28" s="4"/>
    </row>
    <row r="29" spans="2:6" ht="12">
      <c r="B29" s="5">
        <v>2100</v>
      </c>
      <c r="C29" s="5">
        <v>137.8</v>
      </c>
      <c r="E29" s="1">
        <v>3400</v>
      </c>
      <c r="F29" s="3">
        <v>142.5</v>
      </c>
    </row>
    <row r="30" spans="2:6" ht="12">
      <c r="B30" s="5">
        <v>2700</v>
      </c>
      <c r="C30" s="5">
        <v>139.1</v>
      </c>
      <c r="E30" s="1">
        <v>3400</v>
      </c>
      <c r="F30" s="4">
        <v>148.1</v>
      </c>
    </row>
    <row r="31" spans="2:6" ht="12">
      <c r="B31" s="5">
        <v>3600</v>
      </c>
      <c r="C31" s="5">
        <v>143.2</v>
      </c>
      <c r="F31" s="4"/>
    </row>
    <row r="32" spans="2:6" ht="12">
      <c r="B32" s="5">
        <v>3600</v>
      </c>
      <c r="C32" s="5">
        <v>148.2</v>
      </c>
      <c r="F32" s="4"/>
    </row>
    <row r="33" spans="2:3" ht="12">
      <c r="B33" s="5">
        <v>2100</v>
      </c>
      <c r="C33" s="5">
        <v>148.2</v>
      </c>
    </row>
    <row r="34" spans="2:3" ht="12">
      <c r="B34" s="5">
        <v>2100</v>
      </c>
      <c r="C34" s="5">
        <v>137.8</v>
      </c>
    </row>
    <row r="37" spans="4:5" ht="12">
      <c r="D37" s="5"/>
      <c r="E37" s="5"/>
    </row>
    <row r="49" spans="1:7" ht="12.75" customHeight="1">
      <c r="A49" s="83" t="s">
        <v>22</v>
      </c>
      <c r="B49" s="83"/>
      <c r="C49" s="83"/>
      <c r="D49" s="83"/>
      <c r="E49" s="83"/>
      <c r="F49" s="83"/>
      <c r="G49" s="14"/>
    </row>
    <row r="50" spans="1:6" ht="12">
      <c r="A50" s="83"/>
      <c r="B50" s="83"/>
      <c r="C50" s="83"/>
      <c r="D50" s="83"/>
      <c r="E50" s="83"/>
      <c r="F50" s="83"/>
    </row>
    <row r="51" spans="1:6" ht="12">
      <c r="A51" s="83"/>
      <c r="B51" s="83"/>
      <c r="C51" s="83"/>
      <c r="D51" s="83"/>
      <c r="E51" s="83"/>
      <c r="F51" s="83"/>
    </row>
    <row r="52" ht="12">
      <c r="F52" s="54" t="s">
        <v>51</v>
      </c>
    </row>
  </sheetData>
  <sheetProtection sheet="1" objects="1" scenarios="1" selectLockedCells="1"/>
  <mergeCells count="23">
    <mergeCell ref="A1:F1"/>
    <mergeCell ref="F3:F4"/>
    <mergeCell ref="A6:B7"/>
    <mergeCell ref="C6:C7"/>
    <mergeCell ref="D6:D7"/>
    <mergeCell ref="E6:E7"/>
    <mergeCell ref="F6:F7"/>
    <mergeCell ref="A8:C8"/>
    <mergeCell ref="A9:C9"/>
    <mergeCell ref="A10:C10"/>
    <mergeCell ref="A11:C11"/>
    <mergeCell ref="A13:C13"/>
    <mergeCell ref="A14:C14"/>
    <mergeCell ref="A21:C21"/>
    <mergeCell ref="A22:B22"/>
    <mergeCell ref="A23:C23"/>
    <mergeCell ref="A49:F51"/>
    <mergeCell ref="B15:C15"/>
    <mergeCell ref="A16:B16"/>
    <mergeCell ref="A17:C17"/>
    <mergeCell ref="A18:B18"/>
    <mergeCell ref="A19:C19"/>
    <mergeCell ref="A20:C20"/>
  </mergeCells>
  <conditionalFormatting sqref="D21">
    <cfRule type="cellIs" priority="3" dxfId="23" operator="greaterThan" stopIfTrue="1">
      <formula>3600</formula>
    </cfRule>
  </conditionalFormatting>
  <conditionalFormatting sqref="D17">
    <cfRule type="cellIs" priority="2" dxfId="23" operator="greaterThan" stopIfTrue="1">
      <formula>3400</formula>
    </cfRule>
  </conditionalFormatting>
  <conditionalFormatting sqref="D23">
    <cfRule type="cellIs" priority="1" dxfId="23" operator="greaterThan" stopIfTrue="1">
      <formula>3600</formula>
    </cfRule>
  </conditionalFormatting>
  <dataValidations count="4">
    <dataValidation type="whole" operator="lessThanOrEqual" allowBlank="1" showInputMessage="1" showErrorMessage="1" errorTitle="Baggage" error="Maximum weight in baggage compartment is 130 pounds" sqref="D14">
      <formula1>130</formula1>
    </dataValidation>
    <dataValidation type="whole" operator="lessThanOrEqual" allowBlank="1" showInputMessage="1" showErrorMessage="1" errorTitle="Fuel Load" error="Maximum fuel load is 92 usable gallons" sqref="C18">
      <formula1>92</formula1>
    </dataValidation>
    <dataValidation type="decimal" operator="lessThanOrEqual" allowBlank="1" showInputMessage="1" showErrorMessage="1" promptTitle="Maximum Anti-Ice Fluid" prompt="FIKI - 8 Gallons&#10;No-Hazard - 3.5 Gallons" errorTitle="Anti-Ice Fluid" error="Maximum fluid level is 8 gallons" sqref="C16">
      <formula1>8</formula1>
    </dataValidation>
    <dataValidation type="list" allowBlank="1" showInputMessage="1" showErrorMessage="1" sqref="B15:C15">
      <formula1>'SR22T G5'!$J$6:$J$11</formula1>
    </dataValidation>
  </dataValidations>
  <printOptions horizontalCentered="1" verticalCentered="1"/>
  <pageMargins left="0.5" right="0.5" top="0.5" bottom="0.5" header="0" footer="0"/>
  <pageSetup fitToHeight="1" fitToWidth="1" horizontalDpi="600" verticalDpi="600" orientation="portrait"/>
  <headerFooter alignWithMargins="0">
    <oddFooter>&amp;L&amp;"Lucida Grande,Regular"&amp;K000000&amp;A Weight and Balance Form&amp;R&amp;"Lucida Grande,Regular"&amp;K000000Printed on &amp;D &amp;T</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K52"/>
  <sheetViews>
    <sheetView zoomScale="125" zoomScaleNormal="125" workbookViewId="0" topLeftCell="A1">
      <selection activeCell="C13" sqref="C13:N13"/>
    </sheetView>
  </sheetViews>
  <sheetFormatPr defaultColWidth="9.140625" defaultRowHeight="12.75"/>
  <cols>
    <col min="1" max="1" width="20.00390625" style="1" customWidth="1"/>
    <col min="2" max="2" width="6.00390625" style="1" customWidth="1"/>
    <col min="3" max="3" width="8.8515625" style="1" customWidth="1"/>
    <col min="4" max="5" width="12.7109375" style="1" customWidth="1"/>
    <col min="6" max="6" width="12.8515625" style="1" customWidth="1"/>
    <col min="7" max="7" width="10.7109375" style="1" customWidth="1"/>
    <col min="8" max="8" width="10.28125" style="1" customWidth="1"/>
    <col min="9" max="9" width="9.140625" style="1" customWidth="1"/>
    <col min="10" max="10" width="13.28125" style="1" hidden="1" customWidth="1"/>
    <col min="11" max="11" width="9.140625" style="1" hidden="1" customWidth="1"/>
    <col min="12" max="16384" width="9.140625" style="1" customWidth="1"/>
  </cols>
  <sheetData>
    <row r="1" spans="1:7" ht="16.5" customHeight="1">
      <c r="A1" s="66" t="s">
        <v>16</v>
      </c>
      <c r="B1" s="66"/>
      <c r="C1" s="66"/>
      <c r="D1" s="66"/>
      <c r="E1" s="66"/>
      <c r="F1" s="66"/>
      <c r="G1" s="13"/>
    </row>
    <row r="2" spans="1:7" ht="16.5" customHeight="1">
      <c r="A2" s="6"/>
      <c r="B2" s="6"/>
      <c r="C2" s="7"/>
      <c r="D2" s="6"/>
      <c r="F2" s="11"/>
      <c r="G2" s="11"/>
    </row>
    <row r="3" spans="1:7" ht="16.5" customHeight="1">
      <c r="A3" s="6"/>
      <c r="B3" s="6"/>
      <c r="C3" s="16" t="s">
        <v>8</v>
      </c>
      <c r="D3" s="21"/>
      <c r="F3" s="70" t="s">
        <v>27</v>
      </c>
      <c r="G3" s="11"/>
    </row>
    <row r="4" spans="1:7" ht="16.5" customHeight="1">
      <c r="A4" s="6"/>
      <c r="B4" s="6"/>
      <c r="C4" s="16" t="s">
        <v>26</v>
      </c>
      <c r="D4" s="15" t="s">
        <v>63</v>
      </c>
      <c r="F4" s="70"/>
      <c r="G4" s="11"/>
    </row>
    <row r="5" spans="5:10" ht="12.75" customHeight="1">
      <c r="E5" s="11"/>
      <c r="F5" s="11"/>
      <c r="G5" s="11"/>
      <c r="J5" s="2" t="s">
        <v>21</v>
      </c>
    </row>
    <row r="6" spans="1:11" ht="12.75" customHeight="1">
      <c r="A6" s="67" t="s">
        <v>0</v>
      </c>
      <c r="B6" s="67"/>
      <c r="C6" s="67" t="s">
        <v>20</v>
      </c>
      <c r="D6" s="69" t="s">
        <v>13</v>
      </c>
      <c r="E6" s="69" t="s">
        <v>14</v>
      </c>
      <c r="F6" s="69" t="s">
        <v>15</v>
      </c>
      <c r="G6" s="8"/>
      <c r="J6" s="9" t="s">
        <v>35</v>
      </c>
      <c r="K6" s="1">
        <v>6.4</v>
      </c>
    </row>
    <row r="7" spans="1:11" ht="12.75" thickBot="1">
      <c r="A7" s="68"/>
      <c r="B7" s="68"/>
      <c r="C7" s="68"/>
      <c r="D7" s="68"/>
      <c r="E7" s="68"/>
      <c r="F7" s="68"/>
      <c r="J7" s="9" t="s">
        <v>36</v>
      </c>
      <c r="K7" s="1">
        <v>5.7</v>
      </c>
    </row>
    <row r="8" spans="1:11" ht="12">
      <c r="A8" s="77" t="s">
        <v>28</v>
      </c>
      <c r="B8" s="78"/>
      <c r="C8" s="79"/>
      <c r="D8" s="35">
        <v>2456</v>
      </c>
      <c r="E8" s="29">
        <f>F8/D8*1000</f>
        <v>139.78298045602608</v>
      </c>
      <c r="F8" s="22">
        <v>343.307</v>
      </c>
      <c r="J8" s="9" t="s">
        <v>37</v>
      </c>
      <c r="K8" s="1">
        <v>4.3</v>
      </c>
    </row>
    <row r="9" spans="1:11" ht="12">
      <c r="A9" s="71" t="s">
        <v>3</v>
      </c>
      <c r="B9" s="72"/>
      <c r="C9" s="73"/>
      <c r="D9" s="36"/>
      <c r="E9" s="30">
        <v>143.5</v>
      </c>
      <c r="F9" s="23">
        <f aca="true" t="shared" si="0" ref="F9:F16">(D9*E9)/1000</f>
        <v>0</v>
      </c>
      <c r="J9" s="10" t="s">
        <v>38</v>
      </c>
      <c r="K9" s="1">
        <v>2.8</v>
      </c>
    </row>
    <row r="10" spans="1:11" ht="12">
      <c r="A10" s="71" t="s">
        <v>9</v>
      </c>
      <c r="B10" s="72"/>
      <c r="C10" s="73"/>
      <c r="D10" s="36"/>
      <c r="E10" s="30">
        <v>143.5</v>
      </c>
      <c r="F10" s="23">
        <f t="shared" si="0"/>
        <v>0</v>
      </c>
      <c r="J10" s="10" t="s">
        <v>39</v>
      </c>
      <c r="K10" s="1">
        <v>1.4</v>
      </c>
    </row>
    <row r="11" spans="1:11" ht="12">
      <c r="A11" s="71" t="s">
        <v>18</v>
      </c>
      <c r="B11" s="72"/>
      <c r="C11" s="73"/>
      <c r="D11" s="36"/>
      <c r="E11" s="30">
        <v>180</v>
      </c>
      <c r="F11" s="23">
        <f t="shared" si="0"/>
        <v>0</v>
      </c>
      <c r="J11" s="9" t="s">
        <v>40</v>
      </c>
      <c r="K11" s="1">
        <v>0</v>
      </c>
    </row>
    <row r="12" spans="1:10" ht="12">
      <c r="A12" s="51" t="s">
        <v>19</v>
      </c>
      <c r="B12" s="52"/>
      <c r="C12" s="53"/>
      <c r="D12" s="36"/>
      <c r="E12" s="30">
        <v>180</v>
      </c>
      <c r="F12" s="23">
        <f>(D12*E12)/1000</f>
        <v>0</v>
      </c>
      <c r="J12" s="9"/>
    </row>
    <row r="13" spans="1:6" ht="12">
      <c r="A13" s="71" t="s">
        <v>55</v>
      </c>
      <c r="B13" s="72"/>
      <c r="C13" s="73"/>
      <c r="D13" s="36"/>
      <c r="E13" s="30">
        <v>180</v>
      </c>
      <c r="F13" s="23">
        <f t="shared" si="0"/>
        <v>0</v>
      </c>
    </row>
    <row r="14" spans="1:6" ht="12">
      <c r="A14" s="71" t="s">
        <v>61</v>
      </c>
      <c r="B14" s="72"/>
      <c r="C14" s="73"/>
      <c r="D14" s="36"/>
      <c r="E14" s="30">
        <v>208</v>
      </c>
      <c r="F14" s="23">
        <f t="shared" si="0"/>
        <v>0</v>
      </c>
    </row>
    <row r="15" spans="1:6" ht="13.5" customHeight="1">
      <c r="A15" s="12" t="s">
        <v>21</v>
      </c>
      <c r="B15" s="85" t="s">
        <v>35</v>
      </c>
      <c r="C15" s="86"/>
      <c r="D15" s="37">
        <f>VLOOKUP(B15,J6:K17,2,FALSE)</f>
        <v>6.4</v>
      </c>
      <c r="E15" s="30">
        <v>273.5</v>
      </c>
      <c r="F15" s="23">
        <f t="shared" si="0"/>
        <v>1.7504000000000002</v>
      </c>
    </row>
    <row r="16" spans="1:6" ht="12.75" thickBot="1">
      <c r="A16" s="87" t="s">
        <v>31</v>
      </c>
      <c r="B16" s="88"/>
      <c r="C16" s="18">
        <v>8</v>
      </c>
      <c r="D16" s="38">
        <f>C16*9.2</f>
        <v>73.6</v>
      </c>
      <c r="E16" s="31">
        <v>148.4</v>
      </c>
      <c r="F16" s="24">
        <f t="shared" si="0"/>
        <v>10.92224</v>
      </c>
    </row>
    <row r="17" spans="1:10" ht="24" customHeight="1" thickBot="1">
      <c r="A17" s="74" t="s">
        <v>58</v>
      </c>
      <c r="B17" s="74"/>
      <c r="C17" s="74"/>
      <c r="D17" s="55">
        <f>SUM(D8:D16)</f>
        <v>2536</v>
      </c>
      <c r="E17" s="32">
        <f>F17*1000/D17</f>
        <v>140.37052050473187</v>
      </c>
      <c r="F17" s="25">
        <f>SUM(F8:F16)</f>
        <v>355.97964</v>
      </c>
      <c r="J17" s="10"/>
    </row>
    <row r="18" spans="1:6" ht="12.75" thickBot="1">
      <c r="A18" s="75" t="s">
        <v>29</v>
      </c>
      <c r="B18" s="76"/>
      <c r="C18" s="17">
        <v>92</v>
      </c>
      <c r="D18" s="40">
        <f>C18*6</f>
        <v>552</v>
      </c>
      <c r="E18" s="33">
        <v>154.9</v>
      </c>
      <c r="F18" s="26">
        <f>(D18*E18)/1000</f>
        <v>85.5048</v>
      </c>
    </row>
    <row r="19" spans="1:6" ht="13.5" customHeight="1">
      <c r="A19" s="80" t="s">
        <v>10</v>
      </c>
      <c r="B19" s="80"/>
      <c r="C19" s="80"/>
      <c r="D19" s="41">
        <f>SUM(D17,D18)</f>
        <v>3088</v>
      </c>
      <c r="E19" s="34">
        <f>F19*1000/D19</f>
        <v>142.96775906735752</v>
      </c>
      <c r="F19" s="27">
        <f>SUM(F17,F18)</f>
        <v>441.48444</v>
      </c>
    </row>
    <row r="20" spans="1:6" ht="13.5" customHeight="1">
      <c r="A20" s="81" t="s">
        <v>50</v>
      </c>
      <c r="B20" s="81"/>
      <c r="C20" s="81"/>
      <c r="D20" s="41">
        <v>-9</v>
      </c>
      <c r="E20" s="34">
        <v>154.9</v>
      </c>
      <c r="F20" s="27">
        <f>D20*E20/1000</f>
        <v>-1.3941000000000001</v>
      </c>
    </row>
    <row r="21" spans="1:6" ht="24" customHeight="1">
      <c r="A21" s="82" t="s">
        <v>11</v>
      </c>
      <c r="B21" s="82"/>
      <c r="C21" s="82"/>
      <c r="D21" s="42">
        <f>D19+D20</f>
        <v>3079</v>
      </c>
      <c r="E21" s="20">
        <f>F21/D21*1000</f>
        <v>142.93288080545634</v>
      </c>
      <c r="F21" s="28">
        <f>F19+F20</f>
        <v>440.09034</v>
      </c>
    </row>
    <row r="22" spans="1:6" ht="13.5" customHeight="1">
      <c r="A22" s="81" t="s">
        <v>6</v>
      </c>
      <c r="B22" s="84"/>
      <c r="C22" s="19">
        <v>80</v>
      </c>
      <c r="D22" s="41">
        <f>-C22*6</f>
        <v>-480</v>
      </c>
      <c r="E22" s="34">
        <v>154.9</v>
      </c>
      <c r="F22" s="27">
        <f>D22*E22/1000</f>
        <v>-74.352</v>
      </c>
    </row>
    <row r="23" spans="1:6" s="2" customFormat="1" ht="24" customHeight="1">
      <c r="A23" s="82" t="s">
        <v>12</v>
      </c>
      <c r="B23" s="82"/>
      <c r="C23" s="82"/>
      <c r="D23" s="42">
        <f>D21+D22</f>
        <v>2599</v>
      </c>
      <c r="E23" s="20">
        <f>F23/D23*1000</f>
        <v>140.72271642939592</v>
      </c>
      <c r="F23" s="28">
        <f>F21+F22</f>
        <v>365.73834</v>
      </c>
    </row>
    <row r="26" ht="12">
      <c r="F26" s="2"/>
    </row>
    <row r="27" spans="2:6" ht="12">
      <c r="B27" s="2" t="s">
        <v>23</v>
      </c>
      <c r="E27" s="1" t="s">
        <v>59</v>
      </c>
      <c r="F27" s="2"/>
    </row>
    <row r="28" spans="2:6" ht="12">
      <c r="B28" s="5" t="s">
        <v>4</v>
      </c>
      <c r="C28" s="5" t="s">
        <v>5</v>
      </c>
      <c r="E28" s="3"/>
      <c r="F28" s="4"/>
    </row>
    <row r="29" spans="2:6" ht="12">
      <c r="B29" s="5">
        <v>2100</v>
      </c>
      <c r="C29" s="5">
        <v>137.8</v>
      </c>
      <c r="E29" s="1">
        <v>3400</v>
      </c>
      <c r="F29" s="3">
        <v>142.5</v>
      </c>
    </row>
    <row r="30" spans="2:6" ht="12">
      <c r="B30" s="5">
        <v>2700</v>
      </c>
      <c r="C30" s="5">
        <v>139.1</v>
      </c>
      <c r="E30" s="1">
        <v>3400</v>
      </c>
      <c r="F30" s="4">
        <v>148.1</v>
      </c>
    </row>
    <row r="31" spans="2:6" ht="12">
      <c r="B31" s="5">
        <v>3600</v>
      </c>
      <c r="C31" s="5">
        <v>143.2</v>
      </c>
      <c r="F31" s="4"/>
    </row>
    <row r="32" spans="2:6" ht="12">
      <c r="B32" s="5">
        <v>3600</v>
      </c>
      <c r="C32" s="5">
        <v>148.2</v>
      </c>
      <c r="F32" s="4"/>
    </row>
    <row r="33" spans="2:3" ht="12">
      <c r="B33" s="5">
        <v>2100</v>
      </c>
      <c r="C33" s="5">
        <v>148.2</v>
      </c>
    </row>
    <row r="34" spans="2:3" ht="12">
      <c r="B34" s="5">
        <v>2100</v>
      </c>
      <c r="C34" s="5">
        <v>137.8</v>
      </c>
    </row>
    <row r="37" spans="4:5" ht="12">
      <c r="D37" s="5"/>
      <c r="E37" s="5"/>
    </row>
    <row r="49" spans="1:7" ht="12.75" customHeight="1">
      <c r="A49" s="83" t="s">
        <v>22</v>
      </c>
      <c r="B49" s="83"/>
      <c r="C49" s="83"/>
      <c r="D49" s="83"/>
      <c r="E49" s="83"/>
      <c r="F49" s="83"/>
      <c r="G49" s="14"/>
    </row>
    <row r="50" spans="1:6" ht="12">
      <c r="A50" s="83"/>
      <c r="B50" s="83"/>
      <c r="C50" s="83"/>
      <c r="D50" s="83"/>
      <c r="E50" s="83"/>
      <c r="F50" s="83"/>
    </row>
    <row r="51" spans="1:6" ht="12">
      <c r="A51" s="83"/>
      <c r="B51" s="83"/>
      <c r="C51" s="83"/>
      <c r="D51" s="83"/>
      <c r="E51" s="83"/>
      <c r="F51" s="83"/>
    </row>
    <row r="52" ht="12">
      <c r="F52" s="54" t="s">
        <v>51</v>
      </c>
    </row>
  </sheetData>
  <sheetProtection sheet="1" objects="1" scenarios="1" selectLockedCells="1"/>
  <mergeCells count="23">
    <mergeCell ref="A1:F1"/>
    <mergeCell ref="F3:F4"/>
    <mergeCell ref="A6:B7"/>
    <mergeCell ref="C6:C7"/>
    <mergeCell ref="D6:D7"/>
    <mergeCell ref="E6:E7"/>
    <mergeCell ref="F6:F7"/>
    <mergeCell ref="A8:C8"/>
    <mergeCell ref="A9:C9"/>
    <mergeCell ref="A10:C10"/>
    <mergeCell ref="A11:C11"/>
    <mergeCell ref="A13:C13"/>
    <mergeCell ref="A14:C14"/>
    <mergeCell ref="A21:C21"/>
    <mergeCell ref="A22:B22"/>
    <mergeCell ref="A23:C23"/>
    <mergeCell ref="A49:F51"/>
    <mergeCell ref="B15:C15"/>
    <mergeCell ref="A16:B16"/>
    <mergeCell ref="A17:C17"/>
    <mergeCell ref="A18:B18"/>
    <mergeCell ref="A19:C19"/>
    <mergeCell ref="A20:C20"/>
  </mergeCells>
  <conditionalFormatting sqref="D21">
    <cfRule type="cellIs" priority="3" dxfId="23" operator="greaterThan" stopIfTrue="1">
      <formula>3600</formula>
    </cfRule>
  </conditionalFormatting>
  <conditionalFormatting sqref="D17">
    <cfRule type="cellIs" priority="2" dxfId="23" operator="greaterThan" stopIfTrue="1">
      <formula>3400</formula>
    </cfRule>
  </conditionalFormatting>
  <conditionalFormatting sqref="D23">
    <cfRule type="cellIs" priority="1" dxfId="23" operator="greaterThan" stopIfTrue="1">
      <formula>3600</formula>
    </cfRule>
  </conditionalFormatting>
  <dataValidations count="4">
    <dataValidation type="list" allowBlank="1" showInputMessage="1" showErrorMessage="1" sqref="B15:C15">
      <formula1>'SR22 G5 '!$J$6:$J$11</formula1>
    </dataValidation>
    <dataValidation type="decimal" operator="lessThanOrEqual" allowBlank="1" showInputMessage="1" showErrorMessage="1" promptTitle="Maximum Anti-Ice Fluid" prompt="FIKI - 8 Gallons&#10;No-Hazard - 3.5 Gallons" errorTitle="Anti-Ice Fluid" error="Maximum fluid level is 8 gallons" sqref="C16">
      <formula1>8</formula1>
    </dataValidation>
    <dataValidation type="whole" operator="lessThanOrEqual" allowBlank="1" showInputMessage="1" showErrorMessage="1" errorTitle="Fuel Load" error="Maximum fuel load is 92 usable gallons" sqref="C18">
      <formula1>92</formula1>
    </dataValidation>
    <dataValidation type="whole" operator="lessThanOrEqual" allowBlank="1" showInputMessage="1" showErrorMessage="1" errorTitle="Baggage" error="Maximum weight in baggage compartment is 130 pounds" sqref="D14">
      <formula1>130</formula1>
    </dataValidation>
  </dataValidations>
  <printOptions horizontalCentered="1" verticalCentered="1"/>
  <pageMargins left="0.5" right="0.5" top="0.5" bottom="0.5" header="0" footer="0"/>
  <pageSetup fitToHeight="1" fitToWidth="1" horizontalDpi="600" verticalDpi="600" orientation="portrait"/>
  <headerFooter alignWithMargins="0">
    <oddFooter>&amp;L&amp;"Lucida Grande,Regular"&amp;K000000&amp;A Weight and Balance Form&amp;R&amp;"Lucida Grande,Regular"&amp;K000000Printed on &amp;D &amp;T</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K52"/>
  <sheetViews>
    <sheetView workbookViewId="0" topLeftCell="A1">
      <selection activeCell="C13" sqref="C13:N13"/>
    </sheetView>
  </sheetViews>
  <sheetFormatPr defaultColWidth="9.140625" defaultRowHeight="12.75"/>
  <cols>
    <col min="1" max="1" width="20.00390625" style="1" customWidth="1"/>
    <col min="2" max="2" width="6.00390625" style="1" customWidth="1"/>
    <col min="3" max="3" width="8.8515625" style="1" customWidth="1"/>
    <col min="4" max="5" width="12.7109375" style="1" customWidth="1"/>
    <col min="6" max="6" width="12.8515625" style="1" customWidth="1"/>
    <col min="7" max="7" width="10.7109375" style="1" customWidth="1"/>
    <col min="8" max="8" width="10.28125" style="1" customWidth="1"/>
    <col min="9" max="9" width="9.140625" style="1" customWidth="1"/>
    <col min="10" max="10" width="13.28125" style="1" hidden="1" customWidth="1"/>
    <col min="11" max="11" width="9.140625" style="1" hidden="1" customWidth="1"/>
    <col min="12" max="16384" width="9.140625" style="1" customWidth="1"/>
  </cols>
  <sheetData>
    <row r="1" spans="1:7" ht="16.5" customHeight="1">
      <c r="A1" s="66" t="s">
        <v>16</v>
      </c>
      <c r="B1" s="66"/>
      <c r="C1" s="66"/>
      <c r="D1" s="66"/>
      <c r="E1" s="66"/>
      <c r="F1" s="66"/>
      <c r="G1" s="13"/>
    </row>
    <row r="2" spans="1:7" ht="16.5" customHeight="1">
      <c r="A2" s="6"/>
      <c r="B2" s="6"/>
      <c r="C2" s="7"/>
      <c r="D2" s="6"/>
      <c r="F2" s="11"/>
      <c r="G2" s="11"/>
    </row>
    <row r="3" spans="1:7" ht="16.5" customHeight="1">
      <c r="A3" s="6"/>
      <c r="B3" s="6"/>
      <c r="C3" s="16" t="s">
        <v>8</v>
      </c>
      <c r="D3" s="21"/>
      <c r="F3" s="70" t="s">
        <v>27</v>
      </c>
      <c r="G3" s="11"/>
    </row>
    <row r="4" spans="1:7" ht="16.5" customHeight="1">
      <c r="A4" s="6"/>
      <c r="B4" s="6"/>
      <c r="C4" s="16" t="s">
        <v>26</v>
      </c>
      <c r="D4" s="15" t="s">
        <v>62</v>
      </c>
      <c r="F4" s="70"/>
      <c r="G4" s="11"/>
    </row>
    <row r="5" spans="5:10" ht="12.75" customHeight="1">
      <c r="E5" s="11"/>
      <c r="F5" s="11"/>
      <c r="G5" s="11"/>
      <c r="J5" s="2" t="s">
        <v>21</v>
      </c>
    </row>
    <row r="6" spans="1:11" ht="12.75" customHeight="1">
      <c r="A6" s="67" t="s">
        <v>0</v>
      </c>
      <c r="B6" s="67"/>
      <c r="C6" s="67" t="s">
        <v>20</v>
      </c>
      <c r="D6" s="69" t="s">
        <v>13</v>
      </c>
      <c r="E6" s="69" t="s">
        <v>14</v>
      </c>
      <c r="F6" s="69" t="s">
        <v>15</v>
      </c>
      <c r="G6" s="8"/>
      <c r="J6" s="9" t="s">
        <v>35</v>
      </c>
      <c r="K6" s="1">
        <v>6.4</v>
      </c>
    </row>
    <row r="7" spans="1:11" ht="12.75" thickBot="1">
      <c r="A7" s="68"/>
      <c r="B7" s="68"/>
      <c r="C7" s="68"/>
      <c r="D7" s="68"/>
      <c r="E7" s="68"/>
      <c r="F7" s="68"/>
      <c r="J7" s="9" t="s">
        <v>36</v>
      </c>
      <c r="K7" s="1">
        <v>5.7</v>
      </c>
    </row>
    <row r="8" spans="1:11" ht="12">
      <c r="A8" s="77" t="s">
        <v>28</v>
      </c>
      <c r="B8" s="78"/>
      <c r="C8" s="79"/>
      <c r="D8" s="35">
        <v>2456</v>
      </c>
      <c r="E8" s="29">
        <f>F8/D8*1000</f>
        <v>139.78298045602608</v>
      </c>
      <c r="F8" s="22">
        <v>343.307</v>
      </c>
      <c r="J8" s="9" t="s">
        <v>37</v>
      </c>
      <c r="K8" s="1">
        <v>4.3</v>
      </c>
    </row>
    <row r="9" spans="1:11" ht="12">
      <c r="A9" s="71" t="s">
        <v>3</v>
      </c>
      <c r="B9" s="72"/>
      <c r="C9" s="73"/>
      <c r="D9" s="36"/>
      <c r="E9" s="30">
        <v>143.5</v>
      </c>
      <c r="F9" s="23">
        <f aca="true" t="shared" si="0" ref="F9:F16">(D9*E9)/1000</f>
        <v>0</v>
      </c>
      <c r="J9" s="10" t="s">
        <v>38</v>
      </c>
      <c r="K9" s="1">
        <v>2.8</v>
      </c>
    </row>
    <row r="10" spans="1:11" ht="12">
      <c r="A10" s="71" t="s">
        <v>9</v>
      </c>
      <c r="B10" s="72"/>
      <c r="C10" s="73"/>
      <c r="D10" s="36"/>
      <c r="E10" s="30">
        <v>143.5</v>
      </c>
      <c r="F10" s="23">
        <f t="shared" si="0"/>
        <v>0</v>
      </c>
      <c r="J10" s="10" t="s">
        <v>39</v>
      </c>
      <c r="K10" s="1">
        <v>1.4</v>
      </c>
    </row>
    <row r="11" spans="1:11" ht="12">
      <c r="A11" s="71" t="s">
        <v>18</v>
      </c>
      <c r="B11" s="72"/>
      <c r="C11" s="73"/>
      <c r="D11" s="36"/>
      <c r="E11" s="30">
        <v>180</v>
      </c>
      <c r="F11" s="23">
        <f t="shared" si="0"/>
        <v>0</v>
      </c>
      <c r="J11" s="9" t="s">
        <v>40</v>
      </c>
      <c r="K11" s="1">
        <v>0</v>
      </c>
    </row>
    <row r="12" spans="1:10" ht="12">
      <c r="A12" s="51" t="s">
        <v>19</v>
      </c>
      <c r="B12" s="52"/>
      <c r="C12" s="53"/>
      <c r="D12" s="36"/>
      <c r="E12" s="30">
        <v>180</v>
      </c>
      <c r="F12" s="23">
        <f>(D12*E12)/1000</f>
        <v>0</v>
      </c>
      <c r="J12" s="9"/>
    </row>
    <row r="13" spans="1:6" ht="12">
      <c r="A13" s="71" t="s">
        <v>57</v>
      </c>
      <c r="B13" s="72"/>
      <c r="C13" s="73"/>
      <c r="D13" s="36"/>
      <c r="E13" s="30">
        <v>180</v>
      </c>
      <c r="F13" s="23">
        <f t="shared" si="0"/>
        <v>0</v>
      </c>
    </row>
    <row r="14" spans="1:6" ht="12">
      <c r="A14" s="71" t="s">
        <v>25</v>
      </c>
      <c r="B14" s="72"/>
      <c r="C14" s="73"/>
      <c r="D14" s="36"/>
      <c r="E14" s="30">
        <v>208</v>
      </c>
      <c r="F14" s="23">
        <f t="shared" si="0"/>
        <v>0</v>
      </c>
    </row>
    <row r="15" spans="1:6" ht="13.5" customHeight="1">
      <c r="A15" s="12" t="s">
        <v>21</v>
      </c>
      <c r="B15" s="85" t="s">
        <v>35</v>
      </c>
      <c r="C15" s="86"/>
      <c r="D15" s="37">
        <f>VLOOKUP(B15,J6:K17,2,FALSE)</f>
        <v>6.4</v>
      </c>
      <c r="E15" s="30">
        <v>273.5</v>
      </c>
      <c r="F15" s="23">
        <f t="shared" si="0"/>
        <v>1.7504000000000002</v>
      </c>
    </row>
    <row r="16" spans="1:6" ht="12.75" thickBot="1">
      <c r="A16" s="87" t="s">
        <v>31</v>
      </c>
      <c r="B16" s="88"/>
      <c r="C16" s="18">
        <v>8</v>
      </c>
      <c r="D16" s="38">
        <f>C16*9.2</f>
        <v>73.6</v>
      </c>
      <c r="E16" s="31">
        <v>148.4</v>
      </c>
      <c r="F16" s="24">
        <f t="shared" si="0"/>
        <v>10.92224</v>
      </c>
    </row>
    <row r="17" spans="1:10" ht="24" customHeight="1" thickBot="1">
      <c r="A17" s="74" t="s">
        <v>56</v>
      </c>
      <c r="B17" s="74"/>
      <c r="C17" s="74"/>
      <c r="D17" s="39">
        <f>SUM(D8:D16)</f>
        <v>2536</v>
      </c>
      <c r="E17" s="32">
        <f>F17*1000/D17</f>
        <v>140.37052050473187</v>
      </c>
      <c r="F17" s="25">
        <f>SUM(F8:F16)</f>
        <v>355.97964</v>
      </c>
      <c r="J17" s="10"/>
    </row>
    <row r="18" spans="1:6" ht="12.75" thickBot="1">
      <c r="A18" s="75" t="s">
        <v>29</v>
      </c>
      <c r="B18" s="76"/>
      <c r="C18" s="17">
        <v>92</v>
      </c>
      <c r="D18" s="40">
        <f>C18*6</f>
        <v>552</v>
      </c>
      <c r="E18" s="33">
        <v>154.9</v>
      </c>
      <c r="F18" s="26">
        <f>(D18*E18)/1000</f>
        <v>85.5048</v>
      </c>
    </row>
    <row r="19" spans="1:6" ht="13.5" customHeight="1">
      <c r="A19" s="80" t="s">
        <v>10</v>
      </c>
      <c r="B19" s="80"/>
      <c r="C19" s="80"/>
      <c r="D19" s="41">
        <f>SUM(D17,D18)</f>
        <v>3088</v>
      </c>
      <c r="E19" s="34">
        <f>F19*1000/D19</f>
        <v>142.96775906735752</v>
      </c>
      <c r="F19" s="27">
        <f>SUM(F17,F18)</f>
        <v>441.48444</v>
      </c>
    </row>
    <row r="20" spans="1:6" ht="13.5" customHeight="1">
      <c r="A20" s="81" t="s">
        <v>50</v>
      </c>
      <c r="B20" s="81"/>
      <c r="C20" s="81"/>
      <c r="D20" s="41">
        <v>-9</v>
      </c>
      <c r="E20" s="34">
        <v>154.9</v>
      </c>
      <c r="F20" s="27">
        <f>D20*E20/1000</f>
        <v>-1.3941000000000001</v>
      </c>
    </row>
    <row r="21" spans="1:6" ht="24" customHeight="1">
      <c r="A21" s="82" t="s">
        <v>11</v>
      </c>
      <c r="B21" s="82"/>
      <c r="C21" s="82"/>
      <c r="D21" s="42">
        <f>D19+D20</f>
        <v>3079</v>
      </c>
      <c r="E21" s="20">
        <f>F21/D21*1000</f>
        <v>142.93288080545634</v>
      </c>
      <c r="F21" s="28">
        <f>F19+F20</f>
        <v>440.09034</v>
      </c>
    </row>
    <row r="22" spans="1:6" ht="13.5" customHeight="1">
      <c r="A22" s="81" t="s">
        <v>6</v>
      </c>
      <c r="B22" s="84"/>
      <c r="C22" s="19">
        <v>92</v>
      </c>
      <c r="D22" s="41">
        <f>-C22*6</f>
        <v>-552</v>
      </c>
      <c r="E22" s="34">
        <v>154.9</v>
      </c>
      <c r="F22" s="27">
        <f>D22*E22/1000</f>
        <v>-85.5048</v>
      </c>
    </row>
    <row r="23" spans="1:6" s="2" customFormat="1" ht="24" customHeight="1">
      <c r="A23" s="82" t="s">
        <v>12</v>
      </c>
      <c r="B23" s="82"/>
      <c r="C23" s="82"/>
      <c r="D23" s="42">
        <f>D21+D22</f>
        <v>2527</v>
      </c>
      <c r="E23" s="20">
        <f>F23/D23*1000</f>
        <v>140.31877324891175</v>
      </c>
      <c r="F23" s="28">
        <f>F21+F22</f>
        <v>354.58554000000004</v>
      </c>
    </row>
    <row r="26" ht="12">
      <c r="F26" s="2"/>
    </row>
    <row r="27" spans="2:6" ht="12">
      <c r="B27" s="2" t="s">
        <v>23</v>
      </c>
      <c r="F27" s="2"/>
    </row>
    <row r="28" spans="2:6" ht="12">
      <c r="B28" s="5" t="s">
        <v>4</v>
      </c>
      <c r="C28" s="5" t="s">
        <v>5</v>
      </c>
      <c r="E28" s="3"/>
      <c r="F28" s="4"/>
    </row>
    <row r="29" spans="2:6" ht="12">
      <c r="B29" s="5">
        <v>2100</v>
      </c>
      <c r="C29" s="5">
        <v>137.8</v>
      </c>
      <c r="F29" s="3"/>
    </row>
    <row r="30" spans="2:6" ht="12">
      <c r="B30" s="5">
        <v>2700</v>
      </c>
      <c r="C30" s="5">
        <v>139.1</v>
      </c>
      <c r="F30" s="4"/>
    </row>
    <row r="31" spans="2:6" ht="12">
      <c r="B31" s="5">
        <v>3400</v>
      </c>
      <c r="C31" s="5">
        <v>142.3</v>
      </c>
      <c r="F31" s="4"/>
    </row>
    <row r="32" spans="2:6" ht="12">
      <c r="B32" s="5">
        <v>3400</v>
      </c>
      <c r="C32" s="5">
        <v>148.1</v>
      </c>
      <c r="F32" s="4"/>
    </row>
    <row r="33" spans="2:3" ht="12">
      <c r="B33" s="5">
        <v>2100</v>
      </c>
      <c r="C33" s="5">
        <v>148.1</v>
      </c>
    </row>
    <row r="34" spans="2:3" ht="12">
      <c r="B34" s="5">
        <v>2100</v>
      </c>
      <c r="C34" s="5">
        <v>137.8</v>
      </c>
    </row>
    <row r="37" spans="4:5" ht="12">
      <c r="D37" s="5"/>
      <c r="E37" s="5"/>
    </row>
    <row r="49" spans="1:7" ht="12.75" customHeight="1">
      <c r="A49" s="83" t="s">
        <v>22</v>
      </c>
      <c r="B49" s="83"/>
      <c r="C49" s="83"/>
      <c r="D49" s="83"/>
      <c r="E49" s="83"/>
      <c r="F49" s="83"/>
      <c r="G49" s="14"/>
    </row>
    <row r="50" spans="1:6" ht="12">
      <c r="A50" s="83"/>
      <c r="B50" s="83"/>
      <c r="C50" s="83"/>
      <c r="D50" s="83"/>
      <c r="E50" s="83"/>
      <c r="F50" s="83"/>
    </row>
    <row r="51" spans="1:6" ht="12">
      <c r="A51" s="83"/>
      <c r="B51" s="83"/>
      <c r="C51" s="83"/>
      <c r="D51" s="83"/>
      <c r="E51" s="83"/>
      <c r="F51" s="83"/>
    </row>
    <row r="52" ht="12">
      <c r="F52" s="54" t="s">
        <v>51</v>
      </c>
    </row>
  </sheetData>
  <sheetProtection sheet="1" objects="1" scenarios="1" selectLockedCells="1"/>
  <mergeCells count="23">
    <mergeCell ref="A21:C21"/>
    <mergeCell ref="A22:B22"/>
    <mergeCell ref="A23:C23"/>
    <mergeCell ref="A49:F51"/>
    <mergeCell ref="B15:C15"/>
    <mergeCell ref="A16:B16"/>
    <mergeCell ref="A17:C17"/>
    <mergeCell ref="A18:B18"/>
    <mergeCell ref="A19:C19"/>
    <mergeCell ref="A20:C20"/>
    <mergeCell ref="A8:C8"/>
    <mergeCell ref="A9:C9"/>
    <mergeCell ref="A10:C10"/>
    <mergeCell ref="A11:C11"/>
    <mergeCell ref="A13:C13"/>
    <mergeCell ref="A14:C14"/>
    <mergeCell ref="A1:F1"/>
    <mergeCell ref="F3:F4"/>
    <mergeCell ref="A6:B7"/>
    <mergeCell ref="C6:C7"/>
    <mergeCell ref="D6:D7"/>
    <mergeCell ref="E6:E7"/>
    <mergeCell ref="F6:F7"/>
  </mergeCells>
  <conditionalFormatting sqref="D21">
    <cfRule type="cellIs" priority="2" dxfId="22" operator="greaterThan" stopIfTrue="1">
      <formula>3400</formula>
    </cfRule>
  </conditionalFormatting>
  <conditionalFormatting sqref="D23">
    <cfRule type="cellIs" priority="1" dxfId="22" operator="greaterThan" stopIfTrue="1">
      <formula>3400</formula>
    </cfRule>
  </conditionalFormatting>
  <dataValidations count="4">
    <dataValidation type="list" allowBlank="1" showInputMessage="1" showErrorMessage="1" sqref="B15:C15">
      <formula1>'SR22T G3'!$J$6:$J$11</formula1>
    </dataValidation>
    <dataValidation type="decimal" operator="lessThanOrEqual" allowBlank="1" showInputMessage="1" showErrorMessage="1" promptTitle="Maximum Anti-Ice Fluid" prompt="FIKI - 8 Gallons&#10;No-Hazard - 3.5 Gallons" errorTitle="Anti-Ice Fluid" error="Maximum fluid level is 8 gallons" sqref="C16">
      <formula1>8</formula1>
    </dataValidation>
    <dataValidation type="whole" operator="lessThanOrEqual" allowBlank="1" showInputMessage="1" showErrorMessage="1" errorTitle="Fuel Load" error="Maximum fuel load is 92 usable gallons" sqref="C18">
      <formula1>92</formula1>
    </dataValidation>
    <dataValidation type="whole" operator="lessThanOrEqual" allowBlank="1" showInputMessage="1" showErrorMessage="1" errorTitle="Baggage" error="Maximum weight in baggage compartment is 130 pounds" sqref="D14">
      <formula1>130</formula1>
    </dataValidation>
  </dataValidations>
  <printOptions horizontalCentered="1" verticalCentered="1"/>
  <pageMargins left="0.5" right="0.5" top="0.5" bottom="0.5" header="0" footer="0"/>
  <pageSetup fitToHeight="1" fitToWidth="1" horizontalDpi="600" verticalDpi="600" orientation="portrait"/>
  <headerFooter alignWithMargins="0">
    <oddFooter>&amp;L&amp;"Lucida Grande,Regular"&amp;K000000&amp;A Weight and Balance Form&amp;R&amp;"Lucida Grande,Regular"&amp;K000000Printed on &amp;D &amp;T</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K52"/>
  <sheetViews>
    <sheetView workbookViewId="0" topLeftCell="A1">
      <selection activeCell="C13" sqref="C13:N13"/>
    </sheetView>
  </sheetViews>
  <sheetFormatPr defaultColWidth="9.140625" defaultRowHeight="12.75"/>
  <cols>
    <col min="1" max="1" width="20.00390625" style="1" customWidth="1"/>
    <col min="2" max="2" width="6.00390625" style="1" customWidth="1"/>
    <col min="3" max="3" width="8.8515625" style="1" customWidth="1"/>
    <col min="4" max="5" width="12.7109375" style="1" customWidth="1"/>
    <col min="6" max="6" width="12.8515625" style="1" customWidth="1"/>
    <col min="7" max="7" width="10.7109375" style="1" customWidth="1"/>
    <col min="8" max="8" width="10.28125" style="1" customWidth="1"/>
    <col min="9" max="9" width="9.140625" style="1" customWidth="1"/>
    <col min="10" max="10" width="13.28125" style="1" hidden="1" customWidth="1"/>
    <col min="11" max="11" width="9.140625" style="1" hidden="1" customWidth="1"/>
    <col min="12" max="16384" width="9.140625" style="1" customWidth="1"/>
  </cols>
  <sheetData>
    <row r="1" spans="1:7" ht="16.5" customHeight="1">
      <c r="A1" s="66" t="s">
        <v>16</v>
      </c>
      <c r="B1" s="66"/>
      <c r="C1" s="66"/>
      <c r="D1" s="66"/>
      <c r="E1" s="66"/>
      <c r="F1" s="66"/>
      <c r="G1" s="13"/>
    </row>
    <row r="2" spans="1:7" ht="16.5" customHeight="1">
      <c r="A2" s="6"/>
      <c r="B2" s="6"/>
      <c r="C2" s="7"/>
      <c r="D2" s="6"/>
      <c r="F2" s="11"/>
      <c r="G2" s="11"/>
    </row>
    <row r="3" spans="1:7" ht="16.5" customHeight="1">
      <c r="A3" s="6"/>
      <c r="B3" s="6"/>
      <c r="C3" s="16" t="s">
        <v>8</v>
      </c>
      <c r="D3" s="21"/>
      <c r="F3" s="70" t="s">
        <v>27</v>
      </c>
      <c r="G3" s="11"/>
    </row>
    <row r="4" spans="1:7" ht="16.5" customHeight="1">
      <c r="A4" s="6"/>
      <c r="B4" s="6"/>
      <c r="C4" s="16" t="s">
        <v>26</v>
      </c>
      <c r="D4" s="15" t="s">
        <v>7</v>
      </c>
      <c r="F4" s="70"/>
      <c r="G4" s="11"/>
    </row>
    <row r="5" spans="5:10" ht="12.75" customHeight="1">
      <c r="E5" s="11"/>
      <c r="F5" s="11"/>
      <c r="G5" s="11"/>
      <c r="J5" s="2" t="s">
        <v>21</v>
      </c>
    </row>
    <row r="6" spans="1:11" ht="12.75" customHeight="1">
      <c r="A6" s="67" t="s">
        <v>0</v>
      </c>
      <c r="B6" s="67"/>
      <c r="C6" s="67" t="s">
        <v>20</v>
      </c>
      <c r="D6" s="69" t="s">
        <v>13</v>
      </c>
      <c r="E6" s="69" t="s">
        <v>14</v>
      </c>
      <c r="F6" s="69" t="s">
        <v>15</v>
      </c>
      <c r="G6" s="8"/>
      <c r="J6" s="9" t="s">
        <v>35</v>
      </c>
      <c r="K6" s="1">
        <v>6.4</v>
      </c>
    </row>
    <row r="7" spans="1:11" ht="12.75" thickBot="1">
      <c r="A7" s="68"/>
      <c r="B7" s="68"/>
      <c r="C7" s="68"/>
      <c r="D7" s="68"/>
      <c r="E7" s="68"/>
      <c r="F7" s="68"/>
      <c r="J7" s="9" t="s">
        <v>36</v>
      </c>
      <c r="K7" s="1">
        <v>5.7</v>
      </c>
    </row>
    <row r="8" spans="1:11" ht="12">
      <c r="A8" s="77" t="s">
        <v>28</v>
      </c>
      <c r="B8" s="78"/>
      <c r="C8" s="79"/>
      <c r="D8" s="35">
        <v>2456</v>
      </c>
      <c r="E8" s="29">
        <f>F8/D8*1000</f>
        <v>139.78298045602608</v>
      </c>
      <c r="F8" s="22">
        <v>343.307</v>
      </c>
      <c r="J8" s="9" t="s">
        <v>37</v>
      </c>
      <c r="K8" s="1">
        <v>4.3</v>
      </c>
    </row>
    <row r="9" spans="1:11" ht="12">
      <c r="A9" s="71" t="s">
        <v>3</v>
      </c>
      <c r="B9" s="72"/>
      <c r="C9" s="73"/>
      <c r="D9" s="36"/>
      <c r="E9" s="30">
        <v>143.5</v>
      </c>
      <c r="F9" s="23">
        <f aca="true" t="shared" si="0" ref="F9:F16">(D9*E9)/1000</f>
        <v>0</v>
      </c>
      <c r="J9" s="10" t="s">
        <v>38</v>
      </c>
      <c r="K9" s="1">
        <v>2.8</v>
      </c>
    </row>
    <row r="10" spans="1:11" ht="12">
      <c r="A10" s="71" t="s">
        <v>9</v>
      </c>
      <c r="B10" s="72"/>
      <c r="C10" s="73"/>
      <c r="D10" s="36"/>
      <c r="E10" s="30">
        <v>143.5</v>
      </c>
      <c r="F10" s="23">
        <f t="shared" si="0"/>
        <v>0</v>
      </c>
      <c r="J10" s="10" t="s">
        <v>39</v>
      </c>
      <c r="K10" s="1">
        <v>1.4</v>
      </c>
    </row>
    <row r="11" spans="1:11" ht="12">
      <c r="A11" s="71" t="s">
        <v>18</v>
      </c>
      <c r="B11" s="72"/>
      <c r="C11" s="73"/>
      <c r="D11" s="36"/>
      <c r="E11" s="30">
        <v>180</v>
      </c>
      <c r="F11" s="23">
        <f t="shared" si="0"/>
        <v>0</v>
      </c>
      <c r="J11" s="9" t="s">
        <v>40</v>
      </c>
      <c r="K11" s="1">
        <v>0</v>
      </c>
    </row>
    <row r="12" spans="1:6" ht="12">
      <c r="A12" s="71" t="s">
        <v>19</v>
      </c>
      <c r="B12" s="72"/>
      <c r="C12" s="73"/>
      <c r="D12" s="36"/>
      <c r="E12" s="30">
        <v>180</v>
      </c>
      <c r="F12" s="23">
        <f t="shared" si="0"/>
        <v>0</v>
      </c>
    </row>
    <row r="13" spans="1:6" ht="12">
      <c r="A13" s="51" t="s">
        <v>57</v>
      </c>
      <c r="B13" s="52"/>
      <c r="C13" s="53"/>
      <c r="D13" s="36"/>
      <c r="E13" s="30">
        <v>180</v>
      </c>
      <c r="F13" s="23">
        <f t="shared" si="0"/>
        <v>0</v>
      </c>
    </row>
    <row r="14" spans="1:6" ht="12">
      <c r="A14" s="71" t="s">
        <v>25</v>
      </c>
      <c r="B14" s="72"/>
      <c r="C14" s="73"/>
      <c r="D14" s="36"/>
      <c r="E14" s="30">
        <v>208</v>
      </c>
      <c r="F14" s="23">
        <f t="shared" si="0"/>
        <v>0</v>
      </c>
    </row>
    <row r="15" spans="1:6" ht="13.5" customHeight="1">
      <c r="A15" s="12" t="s">
        <v>21</v>
      </c>
      <c r="B15" s="85" t="s">
        <v>35</v>
      </c>
      <c r="C15" s="86"/>
      <c r="D15" s="37">
        <f>VLOOKUP(B15,J6:K17,2,FALSE)</f>
        <v>6.4</v>
      </c>
      <c r="E15" s="30">
        <v>273.5</v>
      </c>
      <c r="F15" s="23">
        <f t="shared" si="0"/>
        <v>1.7504000000000002</v>
      </c>
    </row>
    <row r="16" spans="1:6" ht="12.75" thickBot="1">
      <c r="A16" s="87" t="s">
        <v>31</v>
      </c>
      <c r="B16" s="88"/>
      <c r="C16" s="18">
        <v>8</v>
      </c>
      <c r="D16" s="38">
        <f>C16*9.2</f>
        <v>73.6</v>
      </c>
      <c r="E16" s="31">
        <v>148.4</v>
      </c>
      <c r="F16" s="24">
        <f t="shared" si="0"/>
        <v>10.92224</v>
      </c>
    </row>
    <row r="17" spans="1:10" ht="24" customHeight="1" thickBot="1">
      <c r="A17" s="74" t="s">
        <v>17</v>
      </c>
      <c r="B17" s="74"/>
      <c r="C17" s="74"/>
      <c r="D17" s="39">
        <f>SUM(D8:D16)</f>
        <v>2536</v>
      </c>
      <c r="E17" s="32">
        <f>F17*1000/D17</f>
        <v>140.37052050473187</v>
      </c>
      <c r="F17" s="25">
        <f>SUM(F8:F16)</f>
        <v>355.97964</v>
      </c>
      <c r="J17" s="10"/>
    </row>
    <row r="18" spans="1:6" ht="12.75" thickBot="1">
      <c r="A18" s="75" t="s">
        <v>29</v>
      </c>
      <c r="B18" s="76"/>
      <c r="C18" s="17">
        <v>92</v>
      </c>
      <c r="D18" s="40">
        <f>C18*6</f>
        <v>552</v>
      </c>
      <c r="E18" s="33">
        <v>154.9</v>
      </c>
      <c r="F18" s="26">
        <f>(D18*E18)/1000</f>
        <v>85.5048</v>
      </c>
    </row>
    <row r="19" spans="1:6" ht="13.5" customHeight="1">
      <c r="A19" s="80" t="s">
        <v>10</v>
      </c>
      <c r="B19" s="80"/>
      <c r="C19" s="80"/>
      <c r="D19" s="41">
        <f>SUM(D17,D18)</f>
        <v>3088</v>
      </c>
      <c r="E19" s="34">
        <f>F19*1000/D19</f>
        <v>142.96775906735752</v>
      </c>
      <c r="F19" s="27">
        <f>SUM(F17,F18)</f>
        <v>441.48444</v>
      </c>
    </row>
    <row r="20" spans="1:6" ht="13.5" customHeight="1">
      <c r="A20" s="81" t="s">
        <v>50</v>
      </c>
      <c r="B20" s="81"/>
      <c r="C20" s="81"/>
      <c r="D20" s="41">
        <v>-9</v>
      </c>
      <c r="E20" s="34">
        <v>154.9</v>
      </c>
      <c r="F20" s="27">
        <f>D20*E20/1000</f>
        <v>-1.3941000000000001</v>
      </c>
    </row>
    <row r="21" spans="1:6" ht="24" customHeight="1">
      <c r="A21" s="82" t="s">
        <v>11</v>
      </c>
      <c r="B21" s="82"/>
      <c r="C21" s="82"/>
      <c r="D21" s="42">
        <f>D19+D20</f>
        <v>3079</v>
      </c>
      <c r="E21" s="20">
        <f>F21/D21*1000</f>
        <v>142.93288080545634</v>
      </c>
      <c r="F21" s="28">
        <f>F19+F20</f>
        <v>440.09034</v>
      </c>
    </row>
    <row r="22" spans="1:6" ht="13.5" customHeight="1">
      <c r="A22" s="81" t="s">
        <v>6</v>
      </c>
      <c r="B22" s="84"/>
      <c r="C22" s="19">
        <v>92</v>
      </c>
      <c r="D22" s="41">
        <f>-C22*6</f>
        <v>-552</v>
      </c>
      <c r="E22" s="34">
        <v>154.9</v>
      </c>
      <c r="F22" s="27">
        <f>D22*E22/1000</f>
        <v>-85.5048</v>
      </c>
    </row>
    <row r="23" spans="1:6" s="2" customFormat="1" ht="24" customHeight="1">
      <c r="A23" s="82" t="s">
        <v>12</v>
      </c>
      <c r="B23" s="82"/>
      <c r="C23" s="82"/>
      <c r="D23" s="42">
        <f>D21+D22</f>
        <v>2527</v>
      </c>
      <c r="E23" s="20">
        <f>F23/D23*1000</f>
        <v>140.31877324891175</v>
      </c>
      <c r="F23" s="28">
        <f>F21+F22</f>
        <v>354.58554000000004</v>
      </c>
    </row>
    <row r="26" ht="12">
      <c r="F26" s="2"/>
    </row>
    <row r="27" spans="2:6" ht="12">
      <c r="B27" s="2" t="s">
        <v>23</v>
      </c>
      <c r="F27" s="2"/>
    </row>
    <row r="28" spans="2:6" ht="12">
      <c r="B28" s="5" t="s">
        <v>4</v>
      </c>
      <c r="C28" s="5" t="s">
        <v>5</v>
      </c>
      <c r="E28" s="3"/>
      <c r="F28" s="4"/>
    </row>
    <row r="29" spans="2:6" ht="12">
      <c r="B29" s="5">
        <v>2100</v>
      </c>
      <c r="C29" s="5">
        <v>137.8</v>
      </c>
      <c r="F29" s="3"/>
    </row>
    <row r="30" spans="2:6" ht="12">
      <c r="B30" s="5">
        <v>2700</v>
      </c>
      <c r="C30" s="5">
        <v>139.1</v>
      </c>
      <c r="F30" s="4"/>
    </row>
    <row r="31" spans="2:6" ht="12">
      <c r="B31" s="5">
        <v>3400</v>
      </c>
      <c r="C31" s="5">
        <v>142.3</v>
      </c>
      <c r="F31" s="4"/>
    </row>
    <row r="32" spans="2:6" ht="12">
      <c r="B32" s="5">
        <v>3400</v>
      </c>
      <c r="C32" s="5">
        <v>148.1</v>
      </c>
      <c r="F32" s="4"/>
    </row>
    <row r="33" spans="2:3" ht="12">
      <c r="B33" s="5">
        <v>2100</v>
      </c>
      <c r="C33" s="5">
        <v>148.1</v>
      </c>
    </row>
    <row r="34" spans="2:3" ht="12">
      <c r="B34" s="5">
        <v>2100</v>
      </c>
      <c r="C34" s="5">
        <v>137.8</v>
      </c>
    </row>
    <row r="37" spans="4:5" ht="12">
      <c r="D37" s="5"/>
      <c r="E37" s="5"/>
    </row>
    <row r="49" spans="1:7" ht="12.75" customHeight="1">
      <c r="A49" s="83" t="s">
        <v>22</v>
      </c>
      <c r="B49" s="83"/>
      <c r="C49" s="83"/>
      <c r="D49" s="83"/>
      <c r="E49" s="83"/>
      <c r="F49" s="83"/>
      <c r="G49" s="14"/>
    </row>
    <row r="50" spans="1:6" ht="12">
      <c r="A50" s="83"/>
      <c r="B50" s="83"/>
      <c r="C50" s="83"/>
      <c r="D50" s="83"/>
      <c r="E50" s="83"/>
      <c r="F50" s="83"/>
    </row>
    <row r="51" spans="1:6" ht="12">
      <c r="A51" s="83"/>
      <c r="B51" s="83"/>
      <c r="C51" s="83"/>
      <c r="D51" s="83"/>
      <c r="E51" s="83"/>
      <c r="F51" s="83"/>
    </row>
    <row r="52" ht="12">
      <c r="F52" s="54" t="s">
        <v>24</v>
      </c>
    </row>
  </sheetData>
  <sheetProtection sheet="1" objects="1" scenarios="1" selectLockedCells="1"/>
  <mergeCells count="23">
    <mergeCell ref="A49:F51"/>
    <mergeCell ref="C6:C7"/>
    <mergeCell ref="A17:C17"/>
    <mergeCell ref="A18:B18"/>
    <mergeCell ref="A19:C19"/>
    <mergeCell ref="A20:C20"/>
    <mergeCell ref="A21:C21"/>
    <mergeCell ref="A22:B22"/>
    <mergeCell ref="B15:C15"/>
    <mergeCell ref="A11:C11"/>
    <mergeCell ref="A12:C12"/>
    <mergeCell ref="A14:C14"/>
    <mergeCell ref="A23:C23"/>
    <mergeCell ref="A16:B16"/>
    <mergeCell ref="F3:F4"/>
    <mergeCell ref="A8:C8"/>
    <mergeCell ref="A9:C9"/>
    <mergeCell ref="A10:C10"/>
    <mergeCell ref="A1:F1"/>
    <mergeCell ref="A6:B7"/>
    <mergeCell ref="D6:D7"/>
    <mergeCell ref="E6:E7"/>
    <mergeCell ref="F6:F7"/>
  </mergeCells>
  <conditionalFormatting sqref="D21">
    <cfRule type="cellIs" priority="1" dxfId="22" operator="greaterThan" stopIfTrue="1">
      <formula>3400</formula>
    </cfRule>
  </conditionalFormatting>
  <conditionalFormatting sqref="D23">
    <cfRule type="cellIs" priority="2" dxfId="22" operator="greaterThan" stopIfTrue="1">
      <formula>3400</formula>
    </cfRule>
  </conditionalFormatting>
  <dataValidations count="4">
    <dataValidation type="whole" operator="lessThanOrEqual" allowBlank="1" showInputMessage="1" showErrorMessage="1" errorTitle="Baggage" error="Maximum weight in baggage compartment is 130 pounds" sqref="D14">
      <formula1>130</formula1>
    </dataValidation>
    <dataValidation type="whole" operator="lessThanOrEqual" allowBlank="1" showInputMessage="1" showErrorMessage="1" errorTitle="Fuel Load" error="Maximum fuel load is 92 usable gallons" sqref="C18">
      <formula1>92</formula1>
    </dataValidation>
    <dataValidation type="decimal" operator="lessThanOrEqual" allowBlank="1" showInputMessage="1" showErrorMessage="1" promptTitle="Maximum Anti-Ice Fluid" prompt="FIKI - 8 Gallons&#10;No-Hazard - 3.5 Gallons" errorTitle="Anti-Ice Fluid" error="Maximum fluid level is 8 gallons" sqref="C16">
      <formula1>8</formula1>
    </dataValidation>
    <dataValidation type="list" allowBlank="1" showInputMessage="1" showErrorMessage="1" sqref="B15:C15">
      <formula1>'SR22 G3'!$J$6:$J$11</formula1>
    </dataValidation>
  </dataValidations>
  <printOptions horizontalCentered="1" verticalCentered="1"/>
  <pageMargins left="0.5" right="0.5" top="0.5" bottom="0.5" header="0" footer="0"/>
  <pageSetup fitToHeight="1" fitToWidth="1" horizontalDpi="600" verticalDpi="600" orientation="portrait"/>
  <headerFooter alignWithMargins="0">
    <oddFooter>&amp;L&amp;"Lucida Grande,Regular"&amp;K000000&amp;A Weight and Balance Form&amp;R&amp;"Lucida Grande,Regular"&amp;K000000Printed on &amp;D &amp;T</oddFooter>
  </headerFooter>
  <ignoredErrors>
    <ignoredError sqref="F22 E21:F21 E23 D22" formula="1"/>
  </ignoredErrors>
  <drawing r:id="rId1"/>
</worksheet>
</file>

<file path=xl/worksheets/sheet9.xml><?xml version="1.0" encoding="utf-8"?>
<worksheet xmlns="http://schemas.openxmlformats.org/spreadsheetml/2006/main" xmlns:r="http://schemas.openxmlformats.org/officeDocument/2006/relationships">
  <sheetPr>
    <pageSetUpPr fitToPage="1"/>
  </sheetPr>
  <dimension ref="A1:K51"/>
  <sheetViews>
    <sheetView zoomScale="125" zoomScaleNormal="125" workbookViewId="0" topLeftCell="A1">
      <selection activeCell="A13" sqref="A13:N13"/>
    </sheetView>
  </sheetViews>
  <sheetFormatPr defaultColWidth="9.140625" defaultRowHeight="12.75"/>
  <cols>
    <col min="1" max="1" width="20.00390625" style="1" customWidth="1"/>
    <col min="2" max="2" width="6.00390625" style="1" customWidth="1"/>
    <col min="3" max="3" width="8.8515625" style="1" customWidth="1"/>
    <col min="4" max="5" width="12.7109375" style="1" customWidth="1"/>
    <col min="6" max="6" width="12.8515625" style="1" customWidth="1"/>
    <col min="7" max="7" width="10.7109375" style="1" customWidth="1"/>
    <col min="8" max="8" width="10.28125" style="1" customWidth="1"/>
    <col min="9" max="9" width="9.140625" style="1" customWidth="1"/>
    <col min="10" max="10" width="13.28125" style="1" hidden="1" customWidth="1"/>
    <col min="11" max="11" width="9.140625" style="1" hidden="1" customWidth="1"/>
    <col min="12" max="16384" width="9.140625" style="1" customWidth="1"/>
  </cols>
  <sheetData>
    <row r="1" spans="1:7" ht="16.5" customHeight="1">
      <c r="A1" s="66" t="s">
        <v>16</v>
      </c>
      <c r="B1" s="66"/>
      <c r="C1" s="66"/>
      <c r="D1" s="66"/>
      <c r="E1" s="66"/>
      <c r="F1" s="66"/>
      <c r="G1" s="13"/>
    </row>
    <row r="2" spans="1:7" ht="16.5" customHeight="1">
      <c r="A2" s="6"/>
      <c r="B2" s="6"/>
      <c r="C2" s="7"/>
      <c r="D2" s="6"/>
      <c r="F2" s="11"/>
      <c r="G2" s="11"/>
    </row>
    <row r="3" spans="1:7" ht="16.5" customHeight="1">
      <c r="A3" s="6"/>
      <c r="B3" s="6"/>
      <c r="C3" s="16" t="s">
        <v>8</v>
      </c>
      <c r="D3" s="21"/>
      <c r="F3" s="70" t="s">
        <v>27</v>
      </c>
      <c r="G3" s="11"/>
    </row>
    <row r="4" spans="1:7" ht="16.5" customHeight="1">
      <c r="A4" s="6"/>
      <c r="B4" s="6"/>
      <c r="C4" s="16" t="s">
        <v>26</v>
      </c>
      <c r="D4" s="43" t="s">
        <v>30</v>
      </c>
      <c r="F4" s="70"/>
      <c r="G4" s="11"/>
    </row>
    <row r="5" spans="5:10" ht="12.75" customHeight="1">
      <c r="E5" s="11"/>
      <c r="F5" s="11"/>
      <c r="G5" s="11"/>
      <c r="J5" s="2" t="s">
        <v>21</v>
      </c>
    </row>
    <row r="6" spans="1:11" ht="12.75" customHeight="1">
      <c r="A6" s="67" t="s">
        <v>0</v>
      </c>
      <c r="B6" s="67"/>
      <c r="C6" s="67" t="s">
        <v>20</v>
      </c>
      <c r="D6" s="69" t="s">
        <v>13</v>
      </c>
      <c r="E6" s="69" t="s">
        <v>14</v>
      </c>
      <c r="F6" s="69" t="s">
        <v>15</v>
      </c>
      <c r="G6" s="8"/>
      <c r="J6" s="9" t="s">
        <v>35</v>
      </c>
      <c r="K6" s="1">
        <v>6.4</v>
      </c>
    </row>
    <row r="7" spans="1:11" ht="12.75" thickBot="1">
      <c r="A7" s="68"/>
      <c r="B7" s="68"/>
      <c r="C7" s="68"/>
      <c r="D7" s="68"/>
      <c r="E7" s="68"/>
      <c r="F7" s="68"/>
      <c r="J7" s="9" t="s">
        <v>36</v>
      </c>
      <c r="K7" s="1">
        <v>5.7</v>
      </c>
    </row>
    <row r="8" spans="1:11" ht="12">
      <c r="A8" s="77" t="s">
        <v>28</v>
      </c>
      <c r="B8" s="78"/>
      <c r="C8" s="79"/>
      <c r="D8" s="35">
        <v>2358</v>
      </c>
      <c r="E8" s="29">
        <f>F8/D8*1000</f>
        <v>138.74554707379133</v>
      </c>
      <c r="F8" s="22">
        <v>327.162</v>
      </c>
      <c r="J8" s="9" t="s">
        <v>37</v>
      </c>
      <c r="K8" s="1">
        <v>4.3</v>
      </c>
    </row>
    <row r="9" spans="1:11" ht="12">
      <c r="A9" s="71" t="s">
        <v>3</v>
      </c>
      <c r="B9" s="72"/>
      <c r="C9" s="73"/>
      <c r="D9" s="36"/>
      <c r="E9" s="30">
        <v>143.5</v>
      </c>
      <c r="F9" s="23">
        <f aca="true" t="shared" si="0" ref="F9:F15">(D9*E9)/1000</f>
        <v>0</v>
      </c>
      <c r="J9" s="10" t="s">
        <v>38</v>
      </c>
      <c r="K9" s="1">
        <v>2.8</v>
      </c>
    </row>
    <row r="10" spans="1:11" ht="12">
      <c r="A10" s="71" t="s">
        <v>9</v>
      </c>
      <c r="B10" s="72"/>
      <c r="C10" s="73"/>
      <c r="D10" s="36"/>
      <c r="E10" s="30">
        <v>143.5</v>
      </c>
      <c r="F10" s="23">
        <f t="shared" si="0"/>
        <v>0</v>
      </c>
      <c r="J10" s="10" t="s">
        <v>39</v>
      </c>
      <c r="K10" s="1">
        <v>1.4</v>
      </c>
    </row>
    <row r="11" spans="1:11" ht="12">
      <c r="A11" s="71" t="s">
        <v>18</v>
      </c>
      <c r="B11" s="72"/>
      <c r="C11" s="73"/>
      <c r="D11" s="36"/>
      <c r="E11" s="30">
        <v>180</v>
      </c>
      <c r="F11" s="23">
        <f t="shared" si="0"/>
        <v>0</v>
      </c>
      <c r="J11" s="9" t="s">
        <v>40</v>
      </c>
      <c r="K11" s="1">
        <v>0</v>
      </c>
    </row>
    <row r="12" spans="1:6" ht="12">
      <c r="A12" s="71" t="s">
        <v>19</v>
      </c>
      <c r="B12" s="72"/>
      <c r="C12" s="73"/>
      <c r="D12" s="36"/>
      <c r="E12" s="30">
        <v>180</v>
      </c>
      <c r="F12" s="23">
        <f t="shared" si="0"/>
        <v>0</v>
      </c>
    </row>
    <row r="13" spans="1:6" ht="12">
      <c r="A13" s="71" t="s">
        <v>25</v>
      </c>
      <c r="B13" s="72"/>
      <c r="C13" s="73"/>
      <c r="D13" s="36"/>
      <c r="E13" s="30">
        <v>208</v>
      </c>
      <c r="F13" s="23">
        <f t="shared" si="0"/>
        <v>0</v>
      </c>
    </row>
    <row r="14" spans="1:6" ht="13.5" customHeight="1">
      <c r="A14" s="12" t="s">
        <v>21</v>
      </c>
      <c r="B14" s="85" t="s">
        <v>40</v>
      </c>
      <c r="C14" s="86"/>
      <c r="D14" s="37">
        <f>VLOOKUP(B14,J6:K16,2,FALSE)</f>
        <v>0</v>
      </c>
      <c r="E14" s="30">
        <v>273.5</v>
      </c>
      <c r="F14" s="23">
        <f t="shared" si="0"/>
        <v>0</v>
      </c>
    </row>
    <row r="15" spans="1:6" ht="12.75" thickBot="1">
      <c r="A15" s="87" t="s">
        <v>31</v>
      </c>
      <c r="B15" s="88"/>
      <c r="C15" s="18">
        <v>2.9</v>
      </c>
      <c r="D15" s="38">
        <f>C15*9.2</f>
        <v>26.679999999999996</v>
      </c>
      <c r="E15" s="31">
        <v>181</v>
      </c>
      <c r="F15" s="24">
        <f t="shared" si="0"/>
        <v>4.829079999999999</v>
      </c>
    </row>
    <row r="16" spans="1:10" ht="24" customHeight="1" thickBot="1">
      <c r="A16" s="74" t="s">
        <v>17</v>
      </c>
      <c r="B16" s="74"/>
      <c r="C16" s="74"/>
      <c r="D16" s="39">
        <f>SUM(D8:D15)</f>
        <v>2384.68</v>
      </c>
      <c r="E16" s="32">
        <f>F16*1000/D16</f>
        <v>139.21829343979064</v>
      </c>
      <c r="F16" s="25">
        <f>SUM(F8:F15)</f>
        <v>331.99107999999995</v>
      </c>
      <c r="J16" s="10"/>
    </row>
    <row r="17" spans="1:6" ht="12.75" thickBot="1">
      <c r="A17" s="75" t="s">
        <v>29</v>
      </c>
      <c r="B17" s="76"/>
      <c r="C17" s="17">
        <v>81</v>
      </c>
      <c r="D17" s="40">
        <f>C17*6</f>
        <v>486</v>
      </c>
      <c r="E17" s="33">
        <v>154.9</v>
      </c>
      <c r="F17" s="26">
        <f>(D17*E17)/1000</f>
        <v>75.2814</v>
      </c>
    </row>
    <row r="18" spans="1:6" ht="13.5" customHeight="1">
      <c r="A18" s="80" t="s">
        <v>10</v>
      </c>
      <c r="B18" s="80"/>
      <c r="C18" s="80"/>
      <c r="D18" s="41">
        <f>SUM(D16,D17)</f>
        <v>2870.68</v>
      </c>
      <c r="E18" s="34">
        <f>F18*1000/D18</f>
        <v>141.87317290676773</v>
      </c>
      <c r="F18" s="27">
        <f>SUM(F16,F17)</f>
        <v>407.27248</v>
      </c>
    </row>
    <row r="19" spans="1:6" ht="13.5" customHeight="1">
      <c r="A19" s="81" t="s">
        <v>50</v>
      </c>
      <c r="B19" s="81"/>
      <c r="C19" s="81"/>
      <c r="D19" s="41">
        <v>-9</v>
      </c>
      <c r="E19" s="34">
        <v>154.9</v>
      </c>
      <c r="F19" s="27">
        <f>D19*E19/1000</f>
        <v>-1.3941000000000001</v>
      </c>
    </row>
    <row r="20" spans="1:6" ht="24" customHeight="1">
      <c r="A20" s="82" t="s">
        <v>11</v>
      </c>
      <c r="B20" s="82"/>
      <c r="C20" s="82"/>
      <c r="D20" s="42">
        <f>D18+D19</f>
        <v>2861.68</v>
      </c>
      <c r="E20" s="20">
        <f>F20/D20*1000</f>
        <v>141.83220346090408</v>
      </c>
      <c r="F20" s="28">
        <f>F18+F19</f>
        <v>405.87838</v>
      </c>
    </row>
    <row r="21" spans="1:6" ht="13.5" customHeight="1">
      <c r="A21" s="81" t="s">
        <v>6</v>
      </c>
      <c r="B21" s="84"/>
      <c r="C21" s="19">
        <v>81</v>
      </c>
      <c r="D21" s="41">
        <f>-C21*6</f>
        <v>-486</v>
      </c>
      <c r="E21" s="34">
        <v>154.9</v>
      </c>
      <c r="F21" s="27">
        <f>D21*E21/1000</f>
        <v>-75.2814</v>
      </c>
    </row>
    <row r="22" spans="1:6" s="2" customFormat="1" ht="24" customHeight="1">
      <c r="A22" s="82" t="s">
        <v>12</v>
      </c>
      <c r="B22" s="82"/>
      <c r="C22" s="82"/>
      <c r="D22" s="42">
        <f>D20+D21</f>
        <v>2375.68</v>
      </c>
      <c r="E22" s="20">
        <f>F22/D22*1000</f>
        <v>139.15888503502154</v>
      </c>
      <c r="F22" s="28">
        <f>F20+F21</f>
        <v>330.59698</v>
      </c>
    </row>
    <row r="25" ht="12">
      <c r="F25" s="2"/>
    </row>
    <row r="26" spans="2:6" ht="12">
      <c r="B26" s="2" t="s">
        <v>23</v>
      </c>
      <c r="D26" s="2" t="s">
        <v>32</v>
      </c>
      <c r="F26" s="2"/>
    </row>
    <row r="27" spans="2:6" ht="12">
      <c r="B27" s="5" t="s">
        <v>1</v>
      </c>
      <c r="C27" s="5" t="s">
        <v>2</v>
      </c>
      <c r="D27" s="1" t="s">
        <v>1</v>
      </c>
      <c r="E27" s="1" t="s">
        <v>2</v>
      </c>
      <c r="F27" s="4"/>
    </row>
    <row r="28" spans="2:6" ht="12">
      <c r="B28" s="5">
        <v>2100</v>
      </c>
      <c r="C28" s="5">
        <v>137.8</v>
      </c>
      <c r="D28" s="1">
        <v>3210</v>
      </c>
      <c r="E28" s="4">
        <v>141.4</v>
      </c>
      <c r="F28" s="3"/>
    </row>
    <row r="29" spans="2:6" ht="12">
      <c r="B29" s="5">
        <v>2700</v>
      </c>
      <c r="C29" s="5">
        <v>139.1</v>
      </c>
      <c r="D29" s="1">
        <v>3400</v>
      </c>
      <c r="E29" s="1">
        <v>142.6</v>
      </c>
      <c r="F29" s="4"/>
    </row>
    <row r="30" spans="2:6" ht="12">
      <c r="B30" s="5">
        <v>3400</v>
      </c>
      <c r="C30" s="5">
        <v>142.3</v>
      </c>
      <c r="D30" s="1">
        <v>3400</v>
      </c>
      <c r="E30" s="1">
        <v>142.3</v>
      </c>
      <c r="F30" s="4"/>
    </row>
    <row r="31" spans="2:6" ht="12">
      <c r="B31" s="5">
        <v>3400</v>
      </c>
      <c r="C31" s="5">
        <v>148.1</v>
      </c>
      <c r="D31" s="1">
        <v>3210</v>
      </c>
      <c r="E31" s="1">
        <v>141.4</v>
      </c>
      <c r="F31" s="4"/>
    </row>
    <row r="32" spans="2:3" ht="12">
      <c r="B32" s="5">
        <v>2100</v>
      </c>
      <c r="C32" s="5">
        <v>148.1</v>
      </c>
    </row>
    <row r="33" spans="2:3" ht="12">
      <c r="B33" s="5">
        <v>2100</v>
      </c>
      <c r="C33" s="5">
        <v>137.8</v>
      </c>
    </row>
    <row r="36" spans="4:5" ht="12">
      <c r="D36" s="5"/>
      <c r="E36" s="5"/>
    </row>
    <row r="48" spans="1:7" ht="12.75" customHeight="1">
      <c r="A48" s="83" t="s">
        <v>22</v>
      </c>
      <c r="B48" s="83"/>
      <c r="C48" s="83"/>
      <c r="D48" s="83"/>
      <c r="E48" s="83"/>
      <c r="F48" s="83"/>
      <c r="G48" s="14"/>
    </row>
    <row r="49" spans="1:6" ht="12">
      <c r="A49" s="83"/>
      <c r="B49" s="83"/>
      <c r="C49" s="83"/>
      <c r="D49" s="83"/>
      <c r="E49" s="83"/>
      <c r="F49" s="83"/>
    </row>
    <row r="50" spans="1:6" ht="12">
      <c r="A50" s="83"/>
      <c r="B50" s="83"/>
      <c r="C50" s="83"/>
      <c r="D50" s="83"/>
      <c r="E50" s="83"/>
      <c r="F50" s="83"/>
    </row>
    <row r="51" ht="12">
      <c r="F51" s="54" t="s">
        <v>24</v>
      </c>
    </row>
  </sheetData>
  <sheetProtection sheet="1" objects="1" scenarios="1" selectLockedCells="1"/>
  <mergeCells count="23">
    <mergeCell ref="A15:B15"/>
    <mergeCell ref="B14:C14"/>
    <mergeCell ref="A8:C8"/>
    <mergeCell ref="A9:C9"/>
    <mergeCell ref="A10:C10"/>
    <mergeCell ref="A11:C11"/>
    <mergeCell ref="A12:C12"/>
    <mergeCell ref="A1:F1"/>
    <mergeCell ref="A6:B7"/>
    <mergeCell ref="D6:D7"/>
    <mergeCell ref="E6:E7"/>
    <mergeCell ref="F6:F7"/>
    <mergeCell ref="F3:F4"/>
    <mergeCell ref="A18:C18"/>
    <mergeCell ref="A19:C19"/>
    <mergeCell ref="A20:C20"/>
    <mergeCell ref="A48:F50"/>
    <mergeCell ref="A13:C13"/>
    <mergeCell ref="C6:C7"/>
    <mergeCell ref="A16:C16"/>
    <mergeCell ref="A17:B17"/>
    <mergeCell ref="A21:B21"/>
    <mergeCell ref="A22:C22"/>
  </mergeCells>
  <conditionalFormatting sqref="D20">
    <cfRule type="cellIs" priority="1" dxfId="22" operator="greaterThan" stopIfTrue="1">
      <formula>3400</formula>
    </cfRule>
  </conditionalFormatting>
  <conditionalFormatting sqref="D22">
    <cfRule type="cellIs" priority="2" dxfId="22" operator="greaterThan" stopIfTrue="1">
      <formula>3400</formula>
    </cfRule>
  </conditionalFormatting>
  <dataValidations count="4">
    <dataValidation type="whole" operator="lessThanOrEqual" allowBlank="1" showInputMessage="1" showErrorMessage="1" errorTitle="Baggage" error="Maximum weight in baggage compartment is 130 pounds" sqref="D13">
      <formula1>130</formula1>
    </dataValidation>
    <dataValidation type="whole" operator="lessThanOrEqual" allowBlank="1" showInputMessage="1" showErrorMessage="1" errorTitle="Fuel Load" error="Maximum fuel load is 81 usable gallons" sqref="C17">
      <formula1>81</formula1>
    </dataValidation>
    <dataValidation type="decimal" operator="lessThanOrEqual" allowBlank="1" showInputMessage="1" showErrorMessage="1" promptTitle="Maximum Anti-Ice Fluid" prompt="Maximum Fluid - 2.9 Gallons" errorTitle="Anti-Ice Fluid" error="Maximum fluid level is 2.9 gallons" sqref="C15">
      <formula1>2.9</formula1>
    </dataValidation>
    <dataValidation type="list" allowBlank="1" showInputMessage="1" showErrorMessage="1" sqref="B14:C14">
      <formula1>'SR22 G1, G2'!$J$6:$J$11</formula1>
    </dataValidation>
  </dataValidations>
  <printOptions horizontalCentered="1" verticalCentered="1"/>
  <pageMargins left="0.5" right="0.5" top="0.5" bottom="0.5" header="0" footer="0"/>
  <pageSetup fitToHeight="1" fitToWidth="1" horizontalDpi="600" verticalDpi="600" orientation="portrait"/>
  <headerFooter alignWithMargins="0">
    <oddFooter>&amp;L&amp;"Lucida Grande,Regular"&amp;K000000&amp;A Weight and Balance Form&amp;R&amp;"Lucida Grande,Regular"&amp;K000000Printed on &amp;D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Travis Klumb</dc:creator>
  <cp:keywords/>
  <dc:description/>
  <cp:lastModifiedBy>Steve Miller</cp:lastModifiedBy>
  <cp:lastPrinted>2013-05-08T17:37:38Z</cp:lastPrinted>
  <dcterms:created xsi:type="dcterms:W3CDTF">1999-11-23T17:40:02Z</dcterms:created>
  <dcterms:modified xsi:type="dcterms:W3CDTF">2014-04-25T17:28:22Z</dcterms:modified>
  <cp:category/>
  <cp:version/>
  <cp:contentType/>
  <cp:contentStatus/>
</cp:coreProperties>
</file>